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02217423100.SEDUC\Desktop\"/>
    </mc:Choice>
  </mc:AlternateContent>
  <bookViews>
    <workbookView xWindow="0" yWindow="0" windowWidth="20490" windowHeight="7755" tabRatio="849" firstSheet="5" activeTab="11"/>
  </bookViews>
  <sheets>
    <sheet name="RESUMO" sheetId="9" r:id="rId1"/>
    <sheet name="PLANILHA ORÇAMENTARIA" sheetId="7" r:id="rId2"/>
    <sheet name="Composições do OrçaFascio" sheetId="84" r:id="rId3"/>
    <sheet name="Orçamento Analítico" sheetId="87" r:id="rId4"/>
    <sheet name="MAPA DE COTAÇÃO" sheetId="67" r:id="rId5"/>
    <sheet name="ENCARGOS SOCIAIS" sheetId="85" r:id="rId6"/>
    <sheet name="BDI - Aliquota ISSQN - 5,0%" sheetId="66" r:id="rId7"/>
    <sheet name="CRONOGRAMA" sheetId="8" r:id="rId8"/>
    <sheet name="Quant Bloco Salas + Urbanização" sheetId="88" r:id="rId9"/>
    <sheet name="Quant Const. Refeitorio" sheetId="89" r:id="rId10"/>
    <sheet name="Quant Vestiários + Quadra" sheetId="90" r:id="rId11"/>
    <sheet name="Muro de arrimo" sheetId="91" r:id="rId12"/>
    <sheet name="EST. BLOCO 1" sheetId="92" r:id="rId13"/>
    <sheet name="EST. BLOCO 2" sheetId="93" r:id="rId14"/>
    <sheet name="EST. CISTERNA" sheetId="94" r:id="rId15"/>
    <sheet name="EST. PERGOLADO" sheetId="95" r:id="rId16"/>
    <sheet name="EST. QUADRA" sheetId="96" r:id="rId17"/>
    <sheet name="EST. REFEITÓRIO" sheetId="97" r:id="rId18"/>
    <sheet name="HIDROSSANITÁRIO" sheetId="102" r:id="rId19"/>
    <sheet name="ELÉTRICA" sheetId="99" r:id="rId20"/>
    <sheet name="SPDA" sheetId="100" r:id="rId21"/>
    <sheet name="INCÊNDIO" sheetId="101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xlnm._FilterDatabase" localSheetId="2" hidden="1">'Composições do OrçaFascio'!$C$1:$C$697</definedName>
    <definedName name="_xlnm._FilterDatabase" localSheetId="18" hidden="1">HIDROSSANITÁRIO!$F$1:$F$207</definedName>
    <definedName name="_xlnm._FilterDatabase" localSheetId="3" hidden="1">'Orçamento Analítico'!$H$1:$I$1980</definedName>
    <definedName name="_xlnm._FilterDatabase" localSheetId="1" hidden="1">'PLANILHA ORÇAMENTARIA'!$B$1:$B$976</definedName>
    <definedName name="_xlnm.Print_Area" localSheetId="6">'BDI - Aliquota ISSQN - 5,0%'!$A$1:$C$35</definedName>
    <definedName name="_xlnm.Print_Area" localSheetId="2">'Composições do OrçaFascio'!$A$1:$D$697</definedName>
    <definedName name="_xlnm.Print_Area" localSheetId="7">CRONOGRAMA!$A$1:$X$17</definedName>
    <definedName name="_xlnm.Print_Area" localSheetId="5">'ENCARGOS SOCIAIS'!$A$1:$D$38</definedName>
    <definedName name="_xlnm.Print_Area" localSheetId="13">'EST. BLOCO 2'!$A$1:$J$88</definedName>
    <definedName name="_xlnm.Print_Area" localSheetId="15">'EST. PERGOLADO'!$A$1:$J$44</definedName>
    <definedName name="_xlnm.Print_Area" localSheetId="16">'EST. QUADRA'!$A$1:$J$101</definedName>
    <definedName name="_xlnm.Print_Area" localSheetId="17">'EST. REFEITÓRIO'!$A$1:$J$69</definedName>
    <definedName name="_xlnm.Print_Area" localSheetId="21">INCÊNDIO!$A$1:$C$75</definedName>
    <definedName name="_xlnm.Print_Area" localSheetId="4">'MAPA DE COTAÇÃO'!$A$1:$J$355</definedName>
    <definedName name="_xlnm.Print_Area" localSheetId="11">'Muro de arrimo'!$A$1:$J$15</definedName>
    <definedName name="_xlnm.Print_Area" localSheetId="1">'PLANILHA ORÇAMENTARIA'!$A$1:$H$973</definedName>
    <definedName name="_xlnm.Print_Area" localSheetId="8">'Quant Bloco Salas + Urbanização'!$A$1:$E$154</definedName>
    <definedName name="_xlnm.Print_Area" localSheetId="9">'Quant Const. Refeitorio'!$A$1:$E$64</definedName>
    <definedName name="_xlnm.Print_Area" localSheetId="10">'Quant Vestiários + Quadra'!$A$1:$G$78</definedName>
    <definedName name="BDI">'[1]estimativa de custo IRMA DULCE'!$I$7</definedName>
    <definedName name="COMPOSICAO133" localSheetId="21">[1]ELÉTRICA!#REF!</definedName>
    <definedName name="COMPOSICAO133">[1]ELÉTRICA!#REF!</definedName>
    <definedName name="COMPOSICAOC138" localSheetId="21">[1]INFRA!#REF!</definedName>
    <definedName name="COMPOSICAOC138">[1]INFRA!#REF!</definedName>
    <definedName name="COMPOSICAOE131" localSheetId="21">[1]ELÉTRICA!#REF!</definedName>
    <definedName name="COMPOSICAOE131">[1]ELÉTRICA!#REF!</definedName>
    <definedName name="COMPOSICAOE132" localSheetId="21">[1]ELÉTRICA!#REF!</definedName>
    <definedName name="COMPOSICAOE132">[1]ELÉTRICA!#REF!</definedName>
    <definedName name="COMPOSICAOE133" localSheetId="21">[1]ELÉTRICA!#REF!</definedName>
    <definedName name="COMPOSICAOE133">[1]ELÉTRICA!#REF!</definedName>
    <definedName name="COMPOSICAOE134" localSheetId="21">[1]ELÉTRICA!#REF!</definedName>
    <definedName name="COMPOSICAOE134">[1]ELÉTRICA!#REF!</definedName>
    <definedName name="COMPOSICAOE136">[1]ELÉTRICA!$F$25</definedName>
    <definedName name="COMPOSICAOE137" localSheetId="21">[1]ELÉTRICA!#REF!</definedName>
    <definedName name="COMPOSICAOE137">[1]ELÉTRICA!#REF!</definedName>
    <definedName name="COMPOSICAOE139" localSheetId="21">[1]ELÉTRICA!#REF!</definedName>
    <definedName name="COMPOSICAOE139">[1]ELÉTRICA!#REF!</definedName>
    <definedName name="COMPOSICAOE140" localSheetId="21">[1]ELÉTRICA!#REF!</definedName>
    <definedName name="COMPOSICAOE140">[1]ELÉTRICA!#REF!</definedName>
    <definedName name="COMPOSICAOE141" localSheetId="21">[1]ELÉTRICA!#REF!</definedName>
    <definedName name="COMPOSICAOE141">[1]ELÉTRICA!#REF!</definedName>
    <definedName name="COMPOSICAOE142" localSheetId="21">[1]ELÉTRICA!#REF!</definedName>
    <definedName name="COMPOSICAOE142">[1]ELÉTRICA!#REF!</definedName>
    <definedName name="COMPOSICAOE143" localSheetId="21">[1]ELÉTRICA!#REF!</definedName>
    <definedName name="COMPOSICAOE143">[1]ELÉTRICA!#REF!</definedName>
    <definedName name="COMPOSICAOE144" localSheetId="21">[1]ELÉTRICA!#REF!</definedName>
    <definedName name="COMPOSICAOE144">[1]ELÉTRICA!#REF!</definedName>
    <definedName name="COMPOSICAOE145" localSheetId="21">[1]ELÉTRICA!#REF!</definedName>
    <definedName name="COMPOSICAOE145">[1]ELÉTRICA!#REF!</definedName>
    <definedName name="COMPOSICAOE146" localSheetId="21">[1]ELÉTRICA!#REF!</definedName>
    <definedName name="COMPOSICAOE146">[1]ELÉTRICA!#REF!</definedName>
    <definedName name="COMPOSICAOE147" localSheetId="21">[1]ELÉTRICA!#REF!</definedName>
    <definedName name="COMPOSICAOE147">[1]ELÉTRICA!#REF!</definedName>
    <definedName name="COMPOSICAOE148" localSheetId="21">[1]ELÉTRICA!#REF!</definedName>
    <definedName name="COMPOSICAOE148">[1]ELÉTRICA!#REF!</definedName>
    <definedName name="COMPOSICAOE149" localSheetId="21">[1]ELÉTRICA!#REF!</definedName>
    <definedName name="COMPOSICAOE149">[1]ELÉTRICA!#REF!</definedName>
    <definedName name="COMPOSICAOE150" localSheetId="21">[1]ELÉTRICA!#REF!</definedName>
    <definedName name="COMPOSICAOE150">[1]ELÉTRICA!#REF!</definedName>
    <definedName name="COMPOSICAOE151" localSheetId="21">[1]ELÉTRICA!#REF!</definedName>
    <definedName name="COMPOSICAOE151">[1]ELÉTRICA!#REF!</definedName>
    <definedName name="COMPOSICAOE152" localSheetId="21">[1]ELÉTRICA!#REF!</definedName>
    <definedName name="COMPOSICAOE152">[1]ELÉTRICA!#REF!</definedName>
    <definedName name="COMPOSICAOE154" localSheetId="21">[1]ELÉTRICA!#REF!</definedName>
    <definedName name="COMPOSICAOE154">[1]ELÉTRICA!#REF!</definedName>
    <definedName name="COMPOSICAOE19" localSheetId="21">#REF!</definedName>
    <definedName name="COMPOSICAOE19">#REF!</definedName>
    <definedName name="COMPOSICAOE20" localSheetId="21">#REF!</definedName>
    <definedName name="COMPOSICAOE20">#REF!</definedName>
    <definedName name="COMPOSICAOE21" localSheetId="21">#REF!</definedName>
    <definedName name="COMPOSICAOE21">#REF!</definedName>
    <definedName name="COMPOSICAOE22" localSheetId="21">#REF!</definedName>
    <definedName name="COMPOSICAOE22">#REF!</definedName>
    <definedName name="COMPOSICAOE23" localSheetId="21">#REF!</definedName>
    <definedName name="COMPOSICAOE23">#REF!</definedName>
    <definedName name="COMPOSICAOE24" localSheetId="21">#REF!</definedName>
    <definedName name="COMPOSICAOE24">#REF!</definedName>
    <definedName name="COMPOSICAOI1" localSheetId="21">#REF!</definedName>
    <definedName name="COMPOSICAOI1">#REF!</definedName>
    <definedName name="COMPOSICAOI10" localSheetId="21">#REF!</definedName>
    <definedName name="COMPOSICAOI10">#REF!</definedName>
    <definedName name="COMPOSICAOI100">[1]INFRA!$F$80</definedName>
    <definedName name="COMPOSICAOI101">[1]INFRA!$F$98</definedName>
    <definedName name="COMPOSICAOI102">[1]INFRA!$F$116</definedName>
    <definedName name="COMPOSICAOI103">[1]INFRA!$F$134</definedName>
    <definedName name="COMPOSICAOI104">[1]INFRA!$F$152</definedName>
    <definedName name="COMPOSICAOI105">[1]INFRA!$F$170</definedName>
    <definedName name="COMPOSICAOI106">[1]INFRA!$F$188</definedName>
    <definedName name="COMPOSICAOI107">[1]INFRA!$F$206</definedName>
    <definedName name="COMPOSICAOI108">[1]INFRA!$F$224</definedName>
    <definedName name="COMPOSICAOI109" localSheetId="21">[1]INFRA!#REF!</definedName>
    <definedName name="COMPOSICAOI109">[1]INFRA!#REF!</definedName>
    <definedName name="COMPOSICAOI11" localSheetId="21">#REF!</definedName>
    <definedName name="COMPOSICAOI11">#REF!</definedName>
    <definedName name="COMPOSICAOI110" localSheetId="21">[1]INFRA!#REF!</definedName>
    <definedName name="COMPOSICAOI110">[1]INFRA!#REF!</definedName>
    <definedName name="COMPOSICAOI111">[1]INFRA!$F$242</definedName>
    <definedName name="COMPOSICAOI112">[1]INFRA!$F$261</definedName>
    <definedName name="COMPOSICAOI113">[1]INFRA!$F$279</definedName>
    <definedName name="COMPOSICAOI114" localSheetId="21">[1]INFRA!#REF!</definedName>
    <definedName name="COMPOSICAOI114">[1]INFRA!#REF!</definedName>
    <definedName name="COMPOSICAOI115" localSheetId="21">[1]INFRA!#REF!</definedName>
    <definedName name="COMPOSICAOI115">[1]INFRA!#REF!</definedName>
    <definedName name="COMPOSICAOI116">[1]INFRA!$F$297</definedName>
    <definedName name="COMPOSICAOI117" localSheetId="21">[1]INFRA!#REF!</definedName>
    <definedName name="COMPOSICAOI117">[1]INFRA!#REF!</definedName>
    <definedName name="COMPOSICAOI118">[1]INFRA!$F$315</definedName>
    <definedName name="COMPOSICAOI119" localSheetId="21">[1]INFRA!#REF!</definedName>
    <definedName name="COMPOSICAOI119">[1]INFRA!#REF!</definedName>
    <definedName name="COMPOSICAOI12" localSheetId="21">#REF!</definedName>
    <definedName name="COMPOSICAOI12">#REF!</definedName>
    <definedName name="COMPOSICAOI120">[1]INFRA!$F$334</definedName>
    <definedName name="COMPOSICAOI121">[1]INFRA!$F$352</definedName>
    <definedName name="COMPOSICAOI122">[1]INFRA!$F$370</definedName>
    <definedName name="COMPOSICAOI123">[1]INFRA!$F$388</definedName>
    <definedName name="COMPOSICAOI124">[1]INFRA!$F$406</definedName>
    <definedName name="COMPOSICAOI125">[1]INFRA!$F$424</definedName>
    <definedName name="COMPOSICAOI126">[1]INFRA!$F$442</definedName>
    <definedName name="COMPOSICAOI127">[1]INFRA!$F$460</definedName>
    <definedName name="COMPOSICAOI128">[1]INFRA!$F$478</definedName>
    <definedName name="COMPOSICAOI129">[1]INFRA!$F$496</definedName>
    <definedName name="COMPOSICAOI13" localSheetId="21">#REF!</definedName>
    <definedName name="COMPOSICAOI13">#REF!</definedName>
    <definedName name="COMPOSICAOI130">[1]INFRA!$F$514</definedName>
    <definedName name="COMPOSICAOI135" localSheetId="21">[1]ELÉTRICA!#REF!</definedName>
    <definedName name="COMPOSICAOI135">[1]ELÉTRICA!#REF!</definedName>
    <definedName name="COMPOSICAOI14" localSheetId="21">#REF!</definedName>
    <definedName name="COMPOSICAOI14">#REF!</definedName>
    <definedName name="COMPOSICAOI15" localSheetId="21">#REF!</definedName>
    <definedName name="COMPOSICAOI15">#REF!</definedName>
    <definedName name="COMPOSICAOI153" localSheetId="21">[1]INFRA!#REF!</definedName>
    <definedName name="COMPOSICAOI153">[1]INFRA!#REF!</definedName>
    <definedName name="COMPOSICAOI155" localSheetId="21">[1]INFRA!#REF!</definedName>
    <definedName name="COMPOSICAOI155">[1]INFRA!#REF!</definedName>
    <definedName name="COMPOSICAOI156" localSheetId="21">[1]INFRA!#REF!</definedName>
    <definedName name="COMPOSICAOI156">[1]INFRA!#REF!</definedName>
    <definedName name="COMPOSICAOI157" localSheetId="21">[1]INFRA!#REF!</definedName>
    <definedName name="COMPOSICAOI157">[1]INFRA!#REF!</definedName>
    <definedName name="COMPOSICAOI16" localSheetId="21">#REF!</definedName>
    <definedName name="COMPOSICAOI16">#REF!</definedName>
    <definedName name="COMPOSICAOI17" localSheetId="21">#REF!</definedName>
    <definedName name="COMPOSICAOI17">#REF!</definedName>
    <definedName name="COMPOSICAOI18" localSheetId="21">#REF!</definedName>
    <definedName name="COMPOSICAOI18">#REF!</definedName>
    <definedName name="COMPOSICAOI2" localSheetId="21">#REF!</definedName>
    <definedName name="COMPOSICAOI2">#REF!</definedName>
    <definedName name="COMPOSICAOI200" localSheetId="21">[1]INFRA!#REF!</definedName>
    <definedName name="COMPOSICAOI200">[1]INFRA!#REF!</definedName>
    <definedName name="COMPOSICAOI202" localSheetId="21">[1]INFRA!#REF!</definedName>
    <definedName name="COMPOSICAOI202">[1]INFRA!#REF!</definedName>
    <definedName name="COMPOSICAOI203">[1]INFRA!$F$532</definedName>
    <definedName name="COMPOSICAOI204" localSheetId="21">[1]INFRA!#REF!</definedName>
    <definedName name="COMPOSICAOI204">[1]INFRA!#REF!</definedName>
    <definedName name="COMPOSICAOI3" localSheetId="21">#REF!</definedName>
    <definedName name="COMPOSICAOI3">#REF!</definedName>
    <definedName name="COMPOSICAOI4" localSheetId="21">#REF!</definedName>
    <definedName name="COMPOSICAOI4">#REF!</definedName>
    <definedName name="COMPOSICAOI5" localSheetId="21">#REF!</definedName>
    <definedName name="COMPOSICAOI5">#REF!</definedName>
    <definedName name="COMPOSICAOI6" localSheetId="21">#REF!</definedName>
    <definedName name="COMPOSICAOI6">#REF!</definedName>
    <definedName name="COMPOSICAOI7" localSheetId="21">#REF!</definedName>
    <definedName name="COMPOSICAOI7">#REF!</definedName>
    <definedName name="COMPOSICAOI8" localSheetId="21">#REF!</definedName>
    <definedName name="COMPOSICAOI8">#REF!</definedName>
    <definedName name="COMPOSICAOI87" localSheetId="21">[1]INFRA!#REF!</definedName>
    <definedName name="COMPOSICAOI87">[1]INFRA!#REF!</definedName>
    <definedName name="COMPOSICAOI88" localSheetId="21">[1]INFRA!#REF!</definedName>
    <definedName name="COMPOSICAOI88">[1]INFRA!#REF!</definedName>
    <definedName name="COMPOSICAOI89" localSheetId="21">[1]INFRA!#REF!</definedName>
    <definedName name="COMPOSICAOI89">[1]INFRA!#REF!</definedName>
    <definedName name="COMPOSICAOI9">[1]INFRA!$F$27</definedName>
    <definedName name="COMPOSICAOI90" localSheetId="21">[1]INFRA!#REF!</definedName>
    <definedName name="COMPOSICAOI90">[1]INFRA!#REF!</definedName>
    <definedName name="COMPOSICAOI91" localSheetId="21">[1]INFRA!#REF!</definedName>
    <definedName name="COMPOSICAOI91">[1]INFRA!#REF!</definedName>
    <definedName name="COMPOSICAOI92" localSheetId="21">[1]INFRA!#REF!</definedName>
    <definedName name="COMPOSICAOI92">[1]INFRA!#REF!</definedName>
    <definedName name="COMPOSICAOI93" localSheetId="21">[1]INFRA!#REF!</definedName>
    <definedName name="COMPOSICAOI93">[1]INFRA!#REF!</definedName>
    <definedName name="COMPOSICAOI94" localSheetId="21">[1]INFRA!#REF!</definedName>
    <definedName name="COMPOSICAOI94">[1]INFRA!#REF!</definedName>
    <definedName name="COMPOSICAOI95">[1]INFRA!$F$44</definedName>
    <definedName name="COMPOSICAOI96" localSheetId="21">[1]INFRA!#REF!</definedName>
    <definedName name="COMPOSICAOI96">[1]INFRA!#REF!</definedName>
    <definedName name="COMPOSICAOI97" localSheetId="21">[1]INFRA!#REF!</definedName>
    <definedName name="COMPOSICAOI97">[1]INFRA!#REF!</definedName>
    <definedName name="COMPOSICAOI98" localSheetId="21">[1]INFRA!#REF!</definedName>
    <definedName name="COMPOSICAOI98">[1]INFRA!#REF!</definedName>
    <definedName name="COMPOSICAOI99">[1]INFRA!$F$62</definedName>
    <definedName name="COMPOSICAOL64">'[1]LÓGICA 2'!$F$24</definedName>
    <definedName name="COMPOSICAOL65">'[1]LÓGICA 2'!$F$42</definedName>
    <definedName name="COMPOSICAOL67">'[1]LÓGICA 2'!$F$78</definedName>
    <definedName name="COMPOSICAOL68">'[1]LÓGICA 2'!$F$96</definedName>
    <definedName name="COMPOSICAOL69">'[1]LÓGICA 2'!$F$116</definedName>
    <definedName name="COMPOSICAOL70">'[1]LÓGICA 2'!$F$134</definedName>
    <definedName name="COMPOSICAOL71" localSheetId="21">'[1]LÓGICA 2'!#REF!</definedName>
    <definedName name="COMPOSICAOL71">'[1]LÓGICA 2'!#REF!</definedName>
    <definedName name="COMPOSICAOL72">'[1]LÓGICA 2'!$F$155</definedName>
    <definedName name="COMPOSICAOL73">'[1]LÓGICA 2'!$F$177</definedName>
    <definedName name="COMPOSICAOL74" localSheetId="21">'[1]LÓGICA 2'!#REF!</definedName>
    <definedName name="COMPOSICAOL74">'[1]LÓGICA 2'!#REF!</definedName>
    <definedName name="COMPOSICAOL75" localSheetId="21">'[1]LÓGICA 2'!#REF!</definedName>
    <definedName name="COMPOSICAOL75">'[1]LÓGICA 2'!#REF!</definedName>
    <definedName name="COMPOSICAOL76">'[1]LÓGICA 2'!$F$195</definedName>
    <definedName name="COMPOSICAOL77">'[1]LÓGICA 2'!$F$213</definedName>
    <definedName name="COMPOSICAOL78">'[1]LÓGICA 2'!$F$231</definedName>
    <definedName name="COMPOSICAOL79">'[1]LÓGICA 2'!$F$249</definedName>
    <definedName name="COMPOSICAOL80">'[1]LÓGICA 2'!$F$267</definedName>
    <definedName name="COMPOSICAOL81">'[1]LÓGICA 2'!$F$285</definedName>
    <definedName name="COMPOSICAOL82">'[1]LÓGICA 2'!$F$303</definedName>
    <definedName name="COMPOSICAOL83" localSheetId="21">'[1]LÓGICA 2'!#REF!</definedName>
    <definedName name="COMPOSICAOL83">'[1]LÓGICA 2'!#REF!</definedName>
    <definedName name="COMPOSICAOL84">'[1]LÓGICA 2'!$F$321</definedName>
    <definedName name="COMPOSICAOL85">'[1]LÓGICA 2'!$F$339</definedName>
    <definedName name="COMPOSICAOL86">'[1]LÓGICA 2'!$F$357</definedName>
    <definedName name="COMPOSICAOL87">'[1]LÓGICA 2'!$F$374</definedName>
    <definedName name="eqrrewr" localSheetId="21">[1]INFRA!#REF!</definedName>
    <definedName name="eqrrewr">[1]INFRA!#REF!</definedName>
    <definedName name="Serviços">[2]Solum!$A$3:$AD$2430</definedName>
  </definedNames>
  <calcPr calcId="152511"/>
</workbook>
</file>

<file path=xl/calcChain.xml><?xml version="1.0" encoding="utf-8"?>
<calcChain xmlns="http://schemas.openxmlformats.org/spreadsheetml/2006/main">
  <c r="F204" i="102" l="1"/>
  <c r="E204" i="102"/>
  <c r="F203" i="102"/>
  <c r="E203" i="102"/>
  <c r="E202" i="102"/>
  <c r="F202" i="102" s="1"/>
  <c r="E201" i="102"/>
  <c r="F201" i="102" s="1"/>
  <c r="F200" i="102"/>
  <c r="E200" i="102"/>
  <c r="F199" i="102"/>
  <c r="E199" i="102"/>
  <c r="E197" i="102"/>
  <c r="F197" i="102" s="1"/>
  <c r="E196" i="102"/>
  <c r="F196" i="102" s="1"/>
  <c r="F195" i="102"/>
  <c r="E195" i="102"/>
  <c r="F194" i="102"/>
  <c r="E194" i="102"/>
  <c r="E193" i="102"/>
  <c r="F193" i="102" s="1"/>
  <c r="E192" i="102"/>
  <c r="F192" i="102" s="1"/>
  <c r="F191" i="102"/>
  <c r="E191" i="102"/>
  <c r="E188" i="102"/>
  <c r="F188" i="102" s="1"/>
  <c r="E187" i="102"/>
  <c r="F187" i="102" s="1"/>
  <c r="F185" i="102"/>
  <c r="E185" i="102"/>
  <c r="E184" i="102"/>
  <c r="F184" i="102" s="1"/>
  <c r="E181" i="102"/>
  <c r="F181" i="102" s="1"/>
  <c r="C181" i="102"/>
  <c r="F180" i="102"/>
  <c r="E180" i="102"/>
  <c r="C180" i="102"/>
  <c r="F179" i="102"/>
  <c r="E179" i="102"/>
  <c r="E178" i="102"/>
  <c r="F178" i="102" s="1"/>
  <c r="E177" i="102"/>
  <c r="F177" i="102" s="1"/>
  <c r="F176" i="102"/>
  <c r="F182" i="102" s="1"/>
  <c r="E176" i="102"/>
  <c r="E173" i="102"/>
  <c r="F173" i="102" s="1"/>
  <c r="E172" i="102"/>
  <c r="F172" i="102" s="1"/>
  <c r="C172" i="102"/>
  <c r="F171" i="102"/>
  <c r="E171" i="102"/>
  <c r="F170" i="102"/>
  <c r="E170" i="102"/>
  <c r="C170" i="102"/>
  <c r="E169" i="102"/>
  <c r="F169" i="102" s="1"/>
  <c r="C169" i="102"/>
  <c r="E168" i="102"/>
  <c r="C168" i="102"/>
  <c r="F168" i="102" s="1"/>
  <c r="E167" i="102"/>
  <c r="F167" i="102" s="1"/>
  <c r="E166" i="102"/>
  <c r="F166" i="102" s="1"/>
  <c r="F165" i="102"/>
  <c r="E165" i="102"/>
  <c r="E164" i="102"/>
  <c r="F164" i="102" s="1"/>
  <c r="E163" i="102"/>
  <c r="F163" i="102" s="1"/>
  <c r="E162" i="102"/>
  <c r="F162" i="102" s="1"/>
  <c r="F161" i="102"/>
  <c r="E161" i="102"/>
  <c r="C161" i="102"/>
  <c r="F160" i="102"/>
  <c r="E160" i="102"/>
  <c r="E159" i="102"/>
  <c r="F159" i="102" s="1"/>
  <c r="E158" i="102"/>
  <c r="F158" i="102" s="1"/>
  <c r="F157" i="102"/>
  <c r="E157" i="102"/>
  <c r="F156" i="102"/>
  <c r="E156" i="102"/>
  <c r="E155" i="102"/>
  <c r="F155" i="102" s="1"/>
  <c r="C155" i="102"/>
  <c r="F154" i="102"/>
  <c r="E154" i="102"/>
  <c r="E153" i="102"/>
  <c r="F153" i="102" s="1"/>
  <c r="E152" i="102"/>
  <c r="F152" i="102" s="1"/>
  <c r="E151" i="102"/>
  <c r="F151" i="102" s="1"/>
  <c r="F150" i="102"/>
  <c r="E150" i="102"/>
  <c r="E149" i="102"/>
  <c r="F149" i="102" s="1"/>
  <c r="C149" i="102"/>
  <c r="E148" i="102"/>
  <c r="F148" i="102" s="1"/>
  <c r="E147" i="102"/>
  <c r="F147" i="102" s="1"/>
  <c r="F146" i="102"/>
  <c r="E146" i="102"/>
  <c r="E143" i="102"/>
  <c r="F143" i="102" s="1"/>
  <c r="E142" i="102"/>
  <c r="F142" i="102" s="1"/>
  <c r="F141" i="102"/>
  <c r="E141" i="102"/>
  <c r="E140" i="102"/>
  <c r="F140" i="102" s="1"/>
  <c r="E139" i="102"/>
  <c r="F139" i="102" s="1"/>
  <c r="E138" i="102"/>
  <c r="F138" i="102" s="1"/>
  <c r="F137" i="102"/>
  <c r="E137" i="102"/>
  <c r="E136" i="102"/>
  <c r="F136" i="102" s="1"/>
  <c r="E135" i="102"/>
  <c r="F135" i="102" s="1"/>
  <c r="E134" i="102"/>
  <c r="F134" i="102" s="1"/>
  <c r="F131" i="102"/>
  <c r="E131" i="102"/>
  <c r="F130" i="102"/>
  <c r="E130" i="102"/>
  <c r="E129" i="102"/>
  <c r="F129" i="102" s="1"/>
  <c r="E128" i="102"/>
  <c r="F128" i="102" s="1"/>
  <c r="F132" i="102" s="1"/>
  <c r="F127" i="102"/>
  <c r="E127" i="102"/>
  <c r="F126" i="102"/>
  <c r="E126" i="102"/>
  <c r="E123" i="102"/>
  <c r="F123" i="102" s="1"/>
  <c r="F122" i="102"/>
  <c r="E122" i="102"/>
  <c r="E121" i="102"/>
  <c r="F121" i="102" s="1"/>
  <c r="E120" i="102"/>
  <c r="F120" i="102" s="1"/>
  <c r="E119" i="102"/>
  <c r="F119" i="102" s="1"/>
  <c r="F118" i="102"/>
  <c r="E118" i="102"/>
  <c r="F115" i="102"/>
  <c r="E115" i="102"/>
  <c r="E114" i="102"/>
  <c r="F114" i="102" s="1"/>
  <c r="F116" i="102" s="1"/>
  <c r="F111" i="102"/>
  <c r="E111" i="102"/>
  <c r="E110" i="102"/>
  <c r="F110" i="102" s="1"/>
  <c r="E109" i="102"/>
  <c r="F109" i="102" s="1"/>
  <c r="E108" i="102"/>
  <c r="F108" i="102" s="1"/>
  <c r="F107" i="102"/>
  <c r="E107" i="102"/>
  <c r="E106" i="102"/>
  <c r="F106" i="102" s="1"/>
  <c r="E103" i="102"/>
  <c r="F103" i="102" s="1"/>
  <c r="E102" i="102"/>
  <c r="F102" i="102" s="1"/>
  <c r="F101" i="102"/>
  <c r="E101" i="102"/>
  <c r="F100" i="102"/>
  <c r="E100" i="102"/>
  <c r="E99" i="102"/>
  <c r="F99" i="102" s="1"/>
  <c r="E98" i="102"/>
  <c r="F98" i="102" s="1"/>
  <c r="F97" i="102"/>
  <c r="E97" i="102"/>
  <c r="F96" i="102"/>
  <c r="E96" i="102"/>
  <c r="E93" i="102"/>
  <c r="F93" i="102" s="1"/>
  <c r="F92" i="102"/>
  <c r="E92" i="102"/>
  <c r="E91" i="102"/>
  <c r="F91" i="102" s="1"/>
  <c r="E90" i="102"/>
  <c r="F90" i="102" s="1"/>
  <c r="E89" i="102"/>
  <c r="F89" i="102" s="1"/>
  <c r="F88" i="102"/>
  <c r="E88" i="102"/>
  <c r="E87" i="102"/>
  <c r="F87" i="102" s="1"/>
  <c r="E86" i="102"/>
  <c r="F86" i="102" s="1"/>
  <c r="F94" i="102" s="1"/>
  <c r="E83" i="102"/>
  <c r="F83" i="102" s="1"/>
  <c r="F82" i="102"/>
  <c r="E82" i="102"/>
  <c r="F81" i="102"/>
  <c r="E81" i="102"/>
  <c r="E80" i="102"/>
  <c r="F80" i="102" s="1"/>
  <c r="E79" i="102"/>
  <c r="F79" i="102" s="1"/>
  <c r="F84" i="102" s="1"/>
  <c r="E76" i="102"/>
  <c r="F76" i="102" s="1"/>
  <c r="E75" i="102"/>
  <c r="F75" i="102" s="1"/>
  <c r="E74" i="102"/>
  <c r="F74" i="102" s="1"/>
  <c r="C74" i="102"/>
  <c r="F73" i="102"/>
  <c r="E73" i="102"/>
  <c r="F72" i="102"/>
  <c r="E72" i="102"/>
  <c r="C72" i="102"/>
  <c r="E71" i="102"/>
  <c r="F71" i="102" s="1"/>
  <c r="F70" i="102"/>
  <c r="E70" i="102"/>
  <c r="E69" i="102"/>
  <c r="F69" i="102" s="1"/>
  <c r="E68" i="102"/>
  <c r="F68" i="102" s="1"/>
  <c r="E67" i="102"/>
  <c r="F67" i="102" s="1"/>
  <c r="F66" i="102"/>
  <c r="E66" i="102"/>
  <c r="E65" i="102"/>
  <c r="F65" i="102" s="1"/>
  <c r="E64" i="102"/>
  <c r="F64" i="102" s="1"/>
  <c r="E63" i="102"/>
  <c r="F63" i="102" s="1"/>
  <c r="C63" i="102"/>
  <c r="F62" i="102"/>
  <c r="E62" i="102"/>
  <c r="F61" i="102"/>
  <c r="E61" i="102"/>
  <c r="E60" i="102"/>
  <c r="F60" i="102" s="1"/>
  <c r="E59" i="102"/>
  <c r="F59" i="102" s="1"/>
  <c r="F58" i="102"/>
  <c r="E58" i="102"/>
  <c r="F57" i="102"/>
  <c r="E57" i="102"/>
  <c r="E56" i="102"/>
  <c r="F56" i="102" s="1"/>
  <c r="E55" i="102"/>
  <c r="F55" i="102" s="1"/>
  <c r="F54" i="102"/>
  <c r="E54" i="102"/>
  <c r="F53" i="102"/>
  <c r="E53" i="102"/>
  <c r="E52" i="102"/>
  <c r="F52" i="102" s="1"/>
  <c r="C52" i="102"/>
  <c r="F51" i="102"/>
  <c r="E51" i="102"/>
  <c r="E50" i="102"/>
  <c r="F50" i="102" s="1"/>
  <c r="C50" i="102"/>
  <c r="E49" i="102"/>
  <c r="F49" i="102" s="1"/>
  <c r="C49" i="102"/>
  <c r="F48" i="102"/>
  <c r="E48" i="102"/>
  <c r="C48" i="102"/>
  <c r="F47" i="102"/>
  <c r="E47" i="102"/>
  <c r="E45" i="102"/>
  <c r="F45" i="102" s="1"/>
  <c r="E44" i="102"/>
  <c r="F44" i="102" s="1"/>
  <c r="E43" i="102"/>
  <c r="C43" i="102"/>
  <c r="F43" i="102" s="1"/>
  <c r="E42" i="102"/>
  <c r="F42" i="102" s="1"/>
  <c r="C42" i="102"/>
  <c r="E41" i="102"/>
  <c r="F41" i="102" s="1"/>
  <c r="C41" i="102"/>
  <c r="E40" i="102"/>
  <c r="F40" i="102" s="1"/>
  <c r="E39" i="102"/>
  <c r="F39" i="102" s="1"/>
  <c r="E38" i="102"/>
  <c r="F38" i="102" s="1"/>
  <c r="F37" i="102"/>
  <c r="E37" i="102"/>
  <c r="E36" i="102"/>
  <c r="F36" i="102" s="1"/>
  <c r="C36" i="102"/>
  <c r="E35" i="102"/>
  <c r="F35" i="102" s="1"/>
  <c r="E34" i="102"/>
  <c r="F34" i="102" s="1"/>
  <c r="C34" i="102"/>
  <c r="E33" i="102"/>
  <c r="F33" i="102" s="1"/>
  <c r="E32" i="102"/>
  <c r="F32" i="102" s="1"/>
  <c r="E31" i="102"/>
  <c r="F31" i="102" s="1"/>
  <c r="C31" i="102"/>
  <c r="E30" i="102"/>
  <c r="C30" i="102"/>
  <c r="F30" i="102" s="1"/>
  <c r="E29" i="102"/>
  <c r="F29" i="102" s="1"/>
  <c r="C29" i="102"/>
  <c r="E28" i="102"/>
  <c r="F28" i="102" s="1"/>
  <c r="F27" i="102"/>
  <c r="E27" i="102"/>
  <c r="F24" i="102"/>
  <c r="E24" i="102"/>
  <c r="E19" i="102"/>
  <c r="F19" i="102" s="1"/>
  <c r="F18" i="102"/>
  <c r="E18" i="102"/>
  <c r="E17" i="102"/>
  <c r="F17" i="102" s="1"/>
  <c r="E16" i="102"/>
  <c r="F16" i="102" s="1"/>
  <c r="E15" i="102"/>
  <c r="F15" i="102" s="1"/>
  <c r="F14" i="102"/>
  <c r="E14" i="102"/>
  <c r="E13" i="102"/>
  <c r="F13" i="102" s="1"/>
  <c r="E11" i="102"/>
  <c r="F11" i="102" s="1"/>
  <c r="E10" i="102"/>
  <c r="F10" i="102" s="1"/>
  <c r="F9" i="102"/>
  <c r="E9" i="102"/>
  <c r="E8" i="102"/>
  <c r="F8" i="102" s="1"/>
  <c r="E7" i="102"/>
  <c r="F7" i="102" s="1"/>
  <c r="F22" i="102" s="1"/>
  <c r="H769" i="7"/>
  <c r="G768" i="7"/>
  <c r="H768" i="7" s="1"/>
  <c r="F174" i="102" l="1"/>
  <c r="F124" i="102"/>
  <c r="F104" i="102"/>
  <c r="F144" i="102"/>
  <c r="F77" i="102"/>
  <c r="F112" i="102"/>
  <c r="F189" i="102"/>
  <c r="A59" i="101" l="1"/>
  <c r="A58" i="101"/>
  <c r="C57" i="101"/>
  <c r="A57" i="101"/>
  <c r="A43" i="101"/>
  <c r="A42" i="101"/>
  <c r="A37" i="101"/>
  <c r="A36" i="101"/>
  <c r="A29" i="101"/>
  <c r="A28" i="101"/>
  <c r="B32" i="100" l="1"/>
  <c r="B31" i="100"/>
  <c r="B14" i="100"/>
  <c r="C4" i="100"/>
  <c r="D71" i="99" l="1"/>
  <c r="D70" i="99"/>
  <c r="I69" i="97" l="1"/>
  <c r="I68" i="97"/>
  <c r="I67" i="97"/>
  <c r="I63" i="97"/>
  <c r="I64" i="97" s="1"/>
  <c r="I61" i="97"/>
  <c r="I60" i="97"/>
  <c r="I59" i="97"/>
  <c r="I58" i="97"/>
  <c r="I56" i="97"/>
  <c r="I54" i="97"/>
  <c r="I55" i="97" s="1"/>
  <c r="I53" i="97"/>
  <c r="I51" i="97"/>
  <c r="I50" i="97"/>
  <c r="I48" i="97"/>
  <c r="I49" i="97" s="1"/>
  <c r="I47" i="97"/>
  <c r="I43" i="97"/>
  <c r="I42" i="97"/>
  <c r="I41" i="97"/>
  <c r="I39" i="97"/>
  <c r="I37" i="97"/>
  <c r="I38" i="97" s="1"/>
  <c r="I36" i="97"/>
  <c r="I19" i="97" s="1"/>
  <c r="I33" i="97"/>
  <c r="I32" i="97"/>
  <c r="I31" i="97"/>
  <c r="I30" i="97"/>
  <c r="I28" i="97"/>
  <c r="I29" i="97" s="1"/>
  <c r="I27" i="97"/>
  <c r="I25" i="97"/>
  <c r="I24" i="97"/>
  <c r="I23" i="97"/>
  <c r="I20" i="97"/>
  <c r="I21" i="97" s="1"/>
  <c r="I18" i="97"/>
  <c r="S15" i="97"/>
  <c r="R15" i="97"/>
  <c r="O15" i="97"/>
  <c r="I13" i="97"/>
  <c r="O12" i="97"/>
  <c r="S12" i="97" s="1"/>
  <c r="I14" i="97" s="1"/>
  <c r="I16" i="97" s="1"/>
  <c r="I5" i="97"/>
  <c r="I4" i="97"/>
  <c r="I6" i="97" s="1"/>
  <c r="R12" i="97" l="1"/>
  <c r="I10" i="97" s="1"/>
  <c r="I12" i="97" s="1"/>
  <c r="I11" i="97"/>
  <c r="I15" i="97" s="1"/>
  <c r="I17" i="97" s="1"/>
  <c r="I101" i="96" l="1"/>
  <c r="I100" i="96"/>
  <c r="I99" i="96"/>
  <c r="I98" i="96"/>
  <c r="I97" i="96"/>
  <c r="I96" i="96"/>
  <c r="I93" i="96"/>
  <c r="I92" i="96"/>
  <c r="I91" i="96"/>
  <c r="I88" i="96"/>
  <c r="K86" i="96" s="1"/>
  <c r="I87" i="96"/>
  <c r="I86" i="96"/>
  <c r="I83" i="96"/>
  <c r="I84" i="96" s="1"/>
  <c r="I81" i="96"/>
  <c r="I80" i="96"/>
  <c r="I79" i="96"/>
  <c r="I77" i="96"/>
  <c r="I76" i="96"/>
  <c r="I75" i="96"/>
  <c r="I74" i="96"/>
  <c r="I72" i="96"/>
  <c r="I70" i="96"/>
  <c r="I69" i="96"/>
  <c r="I68" i="96"/>
  <c r="I67" i="96"/>
  <c r="I66" i="96"/>
  <c r="I64" i="96"/>
  <c r="I65" i="96" s="1"/>
  <c r="I63" i="96"/>
  <c r="I52" i="96"/>
  <c r="I42" i="96"/>
  <c r="I32" i="96"/>
  <c r="I33" i="96" s="1"/>
  <c r="I31" i="96"/>
  <c r="I29" i="96"/>
  <c r="L29" i="96" s="1"/>
  <c r="I27" i="96"/>
  <c r="I28" i="96" s="1"/>
  <c r="I26" i="96"/>
  <c r="I25" i="96"/>
  <c r="I22" i="96"/>
  <c r="I21" i="96"/>
  <c r="I19" i="96"/>
  <c r="I18" i="96"/>
  <c r="I17" i="96"/>
  <c r="I15" i="96"/>
  <c r="I14" i="96"/>
  <c r="I16" i="96" s="1"/>
  <c r="I13" i="96"/>
  <c r="I12" i="96"/>
  <c r="I9" i="96"/>
  <c r="I6" i="96"/>
  <c r="I5" i="96"/>
  <c r="I4" i="96"/>
  <c r="I20" i="96" l="1"/>
  <c r="I44" i="95" l="1"/>
  <c r="I43" i="95"/>
  <c r="I42" i="95"/>
  <c r="I38" i="95"/>
  <c r="I37" i="95"/>
  <c r="I35" i="95"/>
  <c r="I36" i="95" s="1"/>
  <c r="I34" i="95"/>
  <c r="I31" i="95"/>
  <c r="I30" i="95"/>
  <c r="I28" i="95"/>
  <c r="I29" i="95" s="1"/>
  <c r="I27" i="95"/>
  <c r="I25" i="95"/>
  <c r="I24" i="95"/>
  <c r="I23" i="95"/>
  <c r="I22" i="95"/>
  <c r="I20" i="95"/>
  <c r="I21" i="95" s="1"/>
  <c r="I19" i="95"/>
  <c r="N11" i="95"/>
  <c r="O11" i="95" s="1"/>
  <c r="M11" i="95"/>
  <c r="I9" i="95"/>
  <c r="O8" i="95"/>
  <c r="S8" i="95" s="1"/>
  <c r="S11" i="95" l="1"/>
  <c r="I10" i="95" s="1"/>
  <c r="I12" i="95" s="1"/>
  <c r="R11" i="95"/>
  <c r="R8" i="95"/>
  <c r="I6" i="95" s="1"/>
  <c r="I8" i="95" s="1"/>
  <c r="I66" i="94" l="1"/>
  <c r="I64" i="94"/>
  <c r="I59" i="94"/>
  <c r="I57" i="94"/>
  <c r="I58" i="94" s="1"/>
  <c r="I56" i="94"/>
  <c r="I53" i="94"/>
  <c r="I52" i="94"/>
  <c r="I50" i="94"/>
  <c r="I49" i="94"/>
  <c r="I47" i="94"/>
  <c r="I45" i="94"/>
  <c r="I44" i="94"/>
  <c r="I42" i="94"/>
  <c r="I43" i="94" s="1"/>
  <c r="I41" i="94"/>
  <c r="I37" i="94"/>
  <c r="I36" i="94"/>
  <c r="I35" i="94"/>
  <c r="I32" i="94"/>
  <c r="I30" i="94"/>
  <c r="I31" i="94" s="1"/>
  <c r="I29" i="94"/>
  <c r="I23" i="94"/>
  <c r="I24" i="94" s="1"/>
  <c r="I22" i="94"/>
  <c r="I19" i="94"/>
  <c r="I16" i="94"/>
  <c r="I17" i="94" s="1"/>
  <c r="I15" i="94"/>
  <c r="I11" i="94"/>
  <c r="I10" i="94"/>
  <c r="I9" i="94"/>
  <c r="I8" i="94"/>
  <c r="I7" i="94"/>
  <c r="I6" i="94"/>
  <c r="I78" i="93" l="1"/>
  <c r="I77" i="93"/>
  <c r="I76" i="93"/>
  <c r="I75" i="93"/>
  <c r="I74" i="93"/>
  <c r="I73" i="93"/>
  <c r="I72" i="93"/>
  <c r="I71" i="93"/>
  <c r="I67" i="93"/>
  <c r="I66" i="93"/>
  <c r="I65" i="93"/>
  <c r="I64" i="93"/>
  <c r="I63" i="93"/>
  <c r="I62" i="93"/>
  <c r="I54" i="93"/>
  <c r="I46" i="93"/>
  <c r="I34" i="93"/>
  <c r="I13" i="93" s="1"/>
  <c r="I33" i="93"/>
  <c r="I28" i="93"/>
  <c r="I25" i="93"/>
  <c r="I24" i="93"/>
  <c r="I23" i="93"/>
  <c r="I22" i="93"/>
  <c r="I21" i="93"/>
  <c r="I18" i="93"/>
  <c r="I11" i="93"/>
  <c r="I15" i="93" s="1"/>
  <c r="I17" i="93" s="1"/>
  <c r="I10" i="93"/>
  <c r="I14" i="93" s="1"/>
  <c r="I16" i="93" s="1"/>
  <c r="I5" i="93"/>
  <c r="I4" i="93" s="1"/>
  <c r="I78" i="92"/>
  <c r="I75" i="92"/>
  <c r="I72" i="92"/>
  <c r="I71" i="92"/>
  <c r="I70" i="92"/>
  <c r="I69" i="92"/>
  <c r="I68" i="92"/>
  <c r="I67" i="92"/>
  <c r="I65" i="92"/>
  <c r="I66" i="92" s="1"/>
  <c r="I64" i="92"/>
  <c r="I57" i="92"/>
  <c r="I58" i="92" s="1"/>
  <c r="I56" i="92"/>
  <c r="I46" i="92"/>
  <c r="I45" i="92"/>
  <c r="I44" i="92"/>
  <c r="I43" i="92"/>
  <c r="I42" i="92"/>
  <c r="I34" i="92"/>
  <c r="I30" i="92"/>
  <c r="I28" i="92"/>
  <c r="I29" i="92" s="1"/>
  <c r="I27" i="92"/>
  <c r="I23" i="92"/>
  <c r="I22" i="92"/>
  <c r="I21" i="92"/>
  <c r="I16" i="92"/>
  <c r="I18" i="92" s="1"/>
  <c r="I15" i="92"/>
  <c r="I17" i="92" s="1"/>
  <c r="I14" i="92"/>
  <c r="I20" i="92" s="1"/>
  <c r="I13" i="92"/>
  <c r="I19" i="92" s="1"/>
  <c r="I10" i="92"/>
  <c r="I5" i="92"/>
  <c r="I4" i="92"/>
  <c r="I6" i="92" s="1"/>
  <c r="I12" i="93" l="1"/>
  <c r="I35" i="93"/>
  <c r="I6" i="93"/>
  <c r="I26" i="92"/>
  <c r="I15" i="91" l="1"/>
  <c r="I14" i="91"/>
  <c r="M14" i="91" s="1"/>
  <c r="I13" i="91"/>
  <c r="L12" i="91"/>
  <c r="I7" i="91"/>
  <c r="M5" i="91"/>
  <c r="N4" i="91"/>
  <c r="K4" i="91"/>
  <c r="F78" i="90" l="1"/>
  <c r="E73" i="90"/>
  <c r="F73" i="90" s="1"/>
  <c r="F70" i="90"/>
  <c r="F69" i="90"/>
  <c r="F68" i="90"/>
  <c r="F67" i="90"/>
  <c r="F66" i="90"/>
  <c r="F65" i="90"/>
  <c r="E64" i="90"/>
  <c r="F64" i="90" s="1"/>
  <c r="F63" i="90"/>
  <c r="E63" i="90"/>
  <c r="F62" i="90"/>
  <c r="F61" i="90"/>
  <c r="F60" i="90"/>
  <c r="F59" i="90"/>
  <c r="E58" i="90"/>
  <c r="F58" i="90" s="1"/>
  <c r="F57" i="90"/>
  <c r="E57" i="90"/>
  <c r="E54" i="90"/>
  <c r="F54" i="90" s="1"/>
  <c r="E53" i="90"/>
  <c r="F53" i="90" s="1"/>
  <c r="E52" i="90"/>
  <c r="F52" i="90" s="1"/>
  <c r="F51" i="90"/>
  <c r="E51" i="90"/>
  <c r="E50" i="90"/>
  <c r="F50" i="90" s="1"/>
  <c r="E48" i="90"/>
  <c r="E49" i="90" s="1"/>
  <c r="F49" i="90" s="1"/>
  <c r="F47" i="90"/>
  <c r="E47" i="90"/>
  <c r="E46" i="90"/>
  <c r="F46" i="90" s="1"/>
  <c r="E43" i="90"/>
  <c r="F43" i="90" s="1"/>
  <c r="E42" i="90"/>
  <c r="F42" i="90" s="1"/>
  <c r="F39" i="90"/>
  <c r="E39" i="90"/>
  <c r="E38" i="90"/>
  <c r="F38" i="90" s="1"/>
  <c r="E35" i="90"/>
  <c r="F35" i="90" s="1"/>
  <c r="E34" i="90"/>
  <c r="F34" i="90" s="1"/>
  <c r="F33" i="90"/>
  <c r="E33" i="90"/>
  <c r="E32" i="90"/>
  <c r="F32" i="90" s="1"/>
  <c r="E31" i="90"/>
  <c r="F31" i="90" s="1"/>
  <c r="E28" i="90"/>
  <c r="E76" i="90" s="1"/>
  <c r="F76" i="90" s="1"/>
  <c r="F27" i="90"/>
  <c r="E27" i="90"/>
  <c r="F26" i="90"/>
  <c r="F25" i="90"/>
  <c r="E22" i="90"/>
  <c r="F22" i="90" s="1"/>
  <c r="E21" i="90"/>
  <c r="F21" i="90" s="1"/>
  <c r="F20" i="90"/>
  <c r="E20" i="90"/>
  <c r="E19" i="90"/>
  <c r="F19" i="90" s="1"/>
  <c r="E16" i="90"/>
  <c r="F16" i="90" s="1"/>
  <c r="E15" i="90"/>
  <c r="F15" i="90" s="1"/>
  <c r="F14" i="90"/>
  <c r="E14" i="90"/>
  <c r="E13" i="90"/>
  <c r="F13" i="90" s="1"/>
  <c r="E12" i="90"/>
  <c r="F12" i="90" s="1"/>
  <c r="E11" i="90"/>
  <c r="F11" i="90" s="1"/>
  <c r="F10" i="90"/>
  <c r="E10" i="90"/>
  <c r="E7" i="90"/>
  <c r="F7" i="90" s="1"/>
  <c r="E4" i="90"/>
  <c r="F4" i="90" s="1"/>
  <c r="F64" i="89"/>
  <c r="E62" i="89"/>
  <c r="F62" i="89" s="1"/>
  <c r="E59" i="89"/>
  <c r="F59" i="89" s="1"/>
  <c r="E56" i="89"/>
  <c r="F56" i="89" s="1"/>
  <c r="XFD56" i="89" s="1"/>
  <c r="E55" i="89"/>
  <c r="F55" i="89" s="1"/>
  <c r="E54" i="89"/>
  <c r="F54" i="89" s="1"/>
  <c r="F53" i="89"/>
  <c r="F52" i="89"/>
  <c r="F51" i="89"/>
  <c r="XFD51" i="89" s="1"/>
  <c r="E50" i="89"/>
  <c r="E47" i="89"/>
  <c r="F47" i="89" s="1"/>
  <c r="F46" i="89"/>
  <c r="E46" i="89"/>
  <c r="F45" i="89"/>
  <c r="E45" i="89"/>
  <c r="E44" i="89"/>
  <c r="F44" i="89" s="1"/>
  <c r="F43" i="89"/>
  <c r="E42" i="89"/>
  <c r="F42" i="89" s="1"/>
  <c r="E41" i="89"/>
  <c r="F41" i="89" s="1"/>
  <c r="E38" i="89"/>
  <c r="F38" i="89" s="1"/>
  <c r="E37" i="89"/>
  <c r="F37" i="89" s="1"/>
  <c r="E34" i="89"/>
  <c r="F33" i="89"/>
  <c r="E33" i="89"/>
  <c r="F32" i="89"/>
  <c r="E32" i="89"/>
  <c r="E63" i="89" s="1"/>
  <c r="F63" i="89" s="1"/>
  <c r="E31" i="89"/>
  <c r="F31" i="89" s="1"/>
  <c r="E30" i="89"/>
  <c r="F30" i="89" s="1"/>
  <c r="F28" i="89"/>
  <c r="E28" i="89"/>
  <c r="E24" i="89"/>
  <c r="F24" i="89" s="1"/>
  <c r="F23" i="89"/>
  <c r="E23" i="89"/>
  <c r="F22" i="89"/>
  <c r="E22" i="89"/>
  <c r="E21" i="89"/>
  <c r="F21" i="89" s="1"/>
  <c r="E20" i="89"/>
  <c r="F20" i="89" s="1"/>
  <c r="F17" i="89"/>
  <c r="E17" i="89"/>
  <c r="F14" i="89"/>
  <c r="E14" i="89"/>
  <c r="E13" i="89"/>
  <c r="F13" i="89" s="1"/>
  <c r="E12" i="89"/>
  <c r="F12" i="89" s="1"/>
  <c r="F11" i="89"/>
  <c r="E11" i="89"/>
  <c r="F10" i="89"/>
  <c r="E10" i="89"/>
  <c r="E7" i="89"/>
  <c r="F7" i="89" s="1"/>
  <c r="E4" i="89"/>
  <c r="F4" i="89" s="1"/>
  <c r="F153" i="88"/>
  <c r="E153" i="88"/>
  <c r="F144" i="88"/>
  <c r="F143" i="88"/>
  <c r="E143" i="88"/>
  <c r="F142" i="88"/>
  <c r="F141" i="88"/>
  <c r="E141" i="88"/>
  <c r="F140" i="88"/>
  <c r="E139" i="88"/>
  <c r="E138" i="88" s="1"/>
  <c r="F138" i="88" s="1"/>
  <c r="F135" i="88"/>
  <c r="E132" i="88"/>
  <c r="F132" i="88" s="1"/>
  <c r="E131" i="88"/>
  <c r="F131" i="88" s="1"/>
  <c r="F130" i="88"/>
  <c r="E130" i="88"/>
  <c r="E129" i="88"/>
  <c r="F129" i="88" s="1"/>
  <c r="E128" i="88"/>
  <c r="F128" i="88" s="1"/>
  <c r="F127" i="88"/>
  <c r="F126" i="88"/>
  <c r="E125" i="88"/>
  <c r="H124" i="88"/>
  <c r="E124" i="88"/>
  <c r="F123" i="88"/>
  <c r="F122" i="88"/>
  <c r="F121" i="88"/>
  <c r="E120" i="88"/>
  <c r="F120" i="88" s="1"/>
  <c r="F119" i="88"/>
  <c r="E119" i="88"/>
  <c r="F118" i="88"/>
  <c r="F115" i="88"/>
  <c r="F114" i="88"/>
  <c r="F113" i="88"/>
  <c r="E112" i="88"/>
  <c r="F112" i="88" s="1"/>
  <c r="F111" i="88"/>
  <c r="F110" i="88"/>
  <c r="F109" i="88"/>
  <c r="F108" i="88"/>
  <c r="E107" i="88"/>
  <c r="F107" i="88" s="1"/>
  <c r="E106" i="88"/>
  <c r="F106" i="88" s="1"/>
  <c r="F105" i="88"/>
  <c r="E104" i="88"/>
  <c r="F103" i="88"/>
  <c r="F102" i="88"/>
  <c r="F101" i="88"/>
  <c r="F100" i="88"/>
  <c r="F99" i="88"/>
  <c r="E98" i="88"/>
  <c r="F98" i="88" s="1"/>
  <c r="F97" i="88"/>
  <c r="F96" i="88"/>
  <c r="F93" i="88"/>
  <c r="F92" i="88"/>
  <c r="F91" i="88"/>
  <c r="F90" i="88"/>
  <c r="I89" i="88"/>
  <c r="F89" i="88"/>
  <c r="F87" i="88"/>
  <c r="E87" i="88"/>
  <c r="E84" i="88"/>
  <c r="F84" i="88" s="1"/>
  <c r="F83" i="88"/>
  <c r="E83" i="88"/>
  <c r="F80" i="88"/>
  <c r="F79" i="88"/>
  <c r="E79" i="88"/>
  <c r="F78" i="88"/>
  <c r="E77" i="88"/>
  <c r="F77" i="88" s="1"/>
  <c r="F76" i="88"/>
  <c r="E76" i="88"/>
  <c r="E75" i="88"/>
  <c r="F75" i="88" s="1"/>
  <c r="F74" i="88"/>
  <c r="F73" i="88"/>
  <c r="E70" i="88"/>
  <c r="F70" i="88" s="1"/>
  <c r="F69" i="88"/>
  <c r="E69" i="88"/>
  <c r="E68" i="88"/>
  <c r="F68" i="88" s="1"/>
  <c r="F67" i="88"/>
  <c r="E67" i="88"/>
  <c r="E66" i="88"/>
  <c r="F66" i="88" s="1"/>
  <c r="F65" i="88"/>
  <c r="F64" i="88"/>
  <c r="E61" i="88"/>
  <c r="F61" i="88" s="1"/>
  <c r="F57" i="88"/>
  <c r="E57" i="88"/>
  <c r="E54" i="88"/>
  <c r="F54" i="88" s="1"/>
  <c r="F53" i="88"/>
  <c r="E53" i="88"/>
  <c r="E50" i="88"/>
  <c r="F50" i="88" s="1"/>
  <c r="F45" i="88"/>
  <c r="E45" i="88"/>
  <c r="E47" i="88" s="1"/>
  <c r="F47" i="88" s="1"/>
  <c r="E44" i="88"/>
  <c r="F44" i="88" s="1"/>
  <c r="F43" i="88"/>
  <c r="E43" i="88"/>
  <c r="E40" i="88"/>
  <c r="F40" i="88" s="1"/>
  <c r="F39" i="88"/>
  <c r="F38" i="88"/>
  <c r="E37" i="88"/>
  <c r="F37" i="88" s="1"/>
  <c r="F36" i="88"/>
  <c r="E36" i="88"/>
  <c r="E35" i="88"/>
  <c r="F35" i="88" s="1"/>
  <c r="F34" i="88"/>
  <c r="E34" i="88"/>
  <c r="E33" i="88"/>
  <c r="F33" i="88" s="1"/>
  <c r="F32" i="88"/>
  <c r="E32" i="88"/>
  <c r="E31" i="88"/>
  <c r="F31" i="88" s="1"/>
  <c r="F30" i="88"/>
  <c r="E30" i="88"/>
  <c r="E29" i="88"/>
  <c r="F29" i="88" s="1"/>
  <c r="F28" i="88"/>
  <c r="E28" i="88"/>
  <c r="E27" i="88"/>
  <c r="F27" i="88" s="1"/>
  <c r="F26" i="88"/>
  <c r="E26" i="88"/>
  <c r="E23" i="88"/>
  <c r="F23" i="88" s="1"/>
  <c r="F22" i="88"/>
  <c r="F21" i="88"/>
  <c r="E21" i="88"/>
  <c r="F20" i="88"/>
  <c r="F17" i="88"/>
  <c r="F16" i="88"/>
  <c r="F15" i="88"/>
  <c r="F14" i="88"/>
  <c r="E14" i="88"/>
  <c r="F13" i="88"/>
  <c r="F12" i="88"/>
  <c r="F11" i="88"/>
  <c r="F10" i="88"/>
  <c r="E9" i="88"/>
  <c r="G9" i="88" s="1"/>
  <c r="F8" i="88"/>
  <c r="F7" i="88"/>
  <c r="F6" i="88"/>
  <c r="F4" i="88"/>
  <c r="F28" i="90" l="1"/>
  <c r="E77" i="90"/>
  <c r="F77" i="90" s="1"/>
  <c r="F48" i="90"/>
  <c r="E27" i="89"/>
  <c r="F50" i="89"/>
  <c r="XFD50" i="89" s="1"/>
  <c r="E46" i="88"/>
  <c r="F46" i="88" s="1"/>
  <c r="F139" i="88"/>
  <c r="E152" i="88"/>
  <c r="F152" i="88" s="1"/>
  <c r="E136" i="88"/>
  <c r="F9" i="88"/>
  <c r="E29" i="89" l="1"/>
  <c r="F29" i="89" s="1"/>
  <c r="F27" i="89"/>
  <c r="E137" i="88"/>
  <c r="F137" i="88" s="1"/>
  <c r="F136" i="88"/>
  <c r="F154" i="88"/>
  <c r="E154" i="88"/>
  <c r="G27" i="7" l="1"/>
  <c r="H27" i="7" s="1"/>
  <c r="J88" i="67" l="1"/>
  <c r="J87" i="67"/>
  <c r="J86" i="67"/>
  <c r="B20" i="9" l="1"/>
  <c r="B19" i="9"/>
  <c r="B18" i="9"/>
  <c r="B17" i="9"/>
  <c r="B16" i="9"/>
  <c r="B15" i="9"/>
  <c r="B14" i="9"/>
  <c r="B13" i="9"/>
  <c r="B12" i="9"/>
  <c r="G861" i="7"/>
  <c r="H861" i="7" s="1"/>
  <c r="G862" i="7"/>
  <c r="H862" i="7" s="1"/>
  <c r="G863" i="7"/>
  <c r="H863" i="7" s="1"/>
  <c r="G864" i="7"/>
  <c r="H864" i="7" s="1"/>
  <c r="G865" i="7"/>
  <c r="H865" i="7" s="1"/>
  <c r="G866" i="7"/>
  <c r="H866" i="7" s="1"/>
  <c r="G867" i="7"/>
  <c r="H867" i="7" s="1"/>
  <c r="G868" i="7"/>
  <c r="H868" i="7"/>
  <c r="G869" i="7"/>
  <c r="H869" i="7" s="1"/>
  <c r="G870" i="7"/>
  <c r="H870" i="7" s="1"/>
  <c r="G871" i="7"/>
  <c r="H871" i="7"/>
  <c r="G872" i="7"/>
  <c r="H872" i="7" s="1"/>
  <c r="G873" i="7"/>
  <c r="H873" i="7" s="1"/>
  <c r="G874" i="7"/>
  <c r="H874" i="7"/>
  <c r="G875" i="7"/>
  <c r="H875" i="7" s="1"/>
  <c r="G876" i="7"/>
  <c r="H876" i="7"/>
  <c r="G877" i="7"/>
  <c r="H877" i="7" s="1"/>
  <c r="G878" i="7"/>
  <c r="H878" i="7" s="1"/>
  <c r="G879" i="7"/>
  <c r="H879" i="7" s="1"/>
  <c r="G880" i="7"/>
  <c r="H880" i="7" s="1"/>
  <c r="G881" i="7"/>
  <c r="H881" i="7" s="1"/>
  <c r="G882" i="7"/>
  <c r="H882" i="7"/>
  <c r="G883" i="7"/>
  <c r="H883" i="7" s="1"/>
  <c r="G884" i="7"/>
  <c r="H884" i="7" s="1"/>
  <c r="G885" i="7"/>
  <c r="H885" i="7" s="1"/>
  <c r="G886" i="7"/>
  <c r="H886" i="7" s="1"/>
  <c r="G887" i="7"/>
  <c r="H887" i="7" s="1"/>
  <c r="G888" i="7"/>
  <c r="H888" i="7" s="1"/>
  <c r="G600" i="7"/>
  <c r="H600" i="7" s="1"/>
  <c r="G601" i="7"/>
  <c r="H601" i="7" s="1"/>
  <c r="G602" i="7"/>
  <c r="H602" i="7" s="1"/>
  <c r="G603" i="7"/>
  <c r="H603" i="7" s="1"/>
  <c r="G604" i="7"/>
  <c r="H604" i="7" s="1"/>
  <c r="G605" i="7"/>
  <c r="H605" i="7" s="1"/>
  <c r="G606" i="7"/>
  <c r="H606" i="7" s="1"/>
  <c r="G607" i="7"/>
  <c r="H607" i="7" s="1"/>
  <c r="G608" i="7"/>
  <c r="H608" i="7" s="1"/>
  <c r="G609" i="7"/>
  <c r="H609" i="7" s="1"/>
  <c r="G610" i="7"/>
  <c r="H610" i="7" s="1"/>
  <c r="G611" i="7"/>
  <c r="H611" i="7"/>
  <c r="G612" i="7"/>
  <c r="H612" i="7" s="1"/>
  <c r="G613" i="7"/>
  <c r="H613" i="7" s="1"/>
  <c r="G614" i="7"/>
  <c r="H614" i="7" s="1"/>
  <c r="G615" i="7"/>
  <c r="H615" i="7" s="1"/>
  <c r="G616" i="7"/>
  <c r="H616" i="7" s="1"/>
  <c r="G617" i="7"/>
  <c r="H617" i="7" s="1"/>
  <c r="G618" i="7"/>
  <c r="H618" i="7" s="1"/>
  <c r="G619" i="7"/>
  <c r="H619" i="7" s="1"/>
  <c r="G620" i="7"/>
  <c r="H620" i="7" s="1"/>
  <c r="G621" i="7"/>
  <c r="H621" i="7" s="1"/>
  <c r="G622" i="7"/>
  <c r="H622" i="7" s="1"/>
  <c r="G623" i="7"/>
  <c r="H623" i="7" s="1"/>
  <c r="G624" i="7"/>
  <c r="H624" i="7" s="1"/>
  <c r="G625" i="7"/>
  <c r="H625" i="7"/>
  <c r="G626" i="7"/>
  <c r="H626" i="7" s="1"/>
  <c r="G627" i="7"/>
  <c r="H627" i="7" s="1"/>
  <c r="G628" i="7"/>
  <c r="H628" i="7" s="1"/>
  <c r="G629" i="7"/>
  <c r="H629" i="7" s="1"/>
  <c r="G630" i="7"/>
  <c r="H630" i="7" s="1"/>
  <c r="G631" i="7"/>
  <c r="H631" i="7" s="1"/>
  <c r="G632" i="7"/>
  <c r="H632" i="7" s="1"/>
  <c r="G633" i="7"/>
  <c r="H633" i="7" s="1"/>
  <c r="G634" i="7"/>
  <c r="H634" i="7" s="1"/>
  <c r="G635" i="7"/>
  <c r="H635" i="7" s="1"/>
  <c r="G636" i="7"/>
  <c r="H636" i="7" s="1"/>
  <c r="G637" i="7"/>
  <c r="H637" i="7" s="1"/>
  <c r="G638" i="7"/>
  <c r="H638" i="7" s="1"/>
  <c r="G639" i="7"/>
  <c r="H639" i="7" s="1"/>
  <c r="G640" i="7"/>
  <c r="H640" i="7" s="1"/>
  <c r="G641" i="7"/>
  <c r="H641" i="7" s="1"/>
  <c r="G642" i="7"/>
  <c r="H642" i="7" s="1"/>
  <c r="G643" i="7"/>
  <c r="H643" i="7" s="1"/>
  <c r="G644" i="7"/>
  <c r="H644" i="7" s="1"/>
  <c r="G645" i="7"/>
  <c r="H645" i="7" s="1"/>
  <c r="G646" i="7"/>
  <c r="H646" i="7" s="1"/>
  <c r="G647" i="7"/>
  <c r="H647" i="7" s="1"/>
  <c r="G648" i="7"/>
  <c r="H648" i="7" s="1"/>
  <c r="G649" i="7"/>
  <c r="H649" i="7" s="1"/>
  <c r="G650" i="7"/>
  <c r="H650" i="7" s="1"/>
  <c r="G651" i="7"/>
  <c r="H651" i="7" s="1"/>
  <c r="G652" i="7"/>
  <c r="H652" i="7" s="1"/>
  <c r="G367" i="7"/>
  <c r="H367" i="7" s="1"/>
  <c r="G368" i="7"/>
  <c r="H368" i="7" s="1"/>
  <c r="G369" i="7"/>
  <c r="H369" i="7" s="1"/>
  <c r="G366" i="7"/>
  <c r="H366" i="7" s="1"/>
  <c r="G962" i="7"/>
  <c r="H962" i="7" s="1"/>
  <c r="G961" i="7"/>
  <c r="H961" i="7" s="1"/>
  <c r="G960" i="7"/>
  <c r="H960" i="7" s="1"/>
  <c r="G896" i="7"/>
  <c r="H896" i="7" s="1"/>
  <c r="G860" i="7"/>
  <c r="H860" i="7" s="1"/>
  <c r="G841" i="7"/>
  <c r="H841" i="7" s="1"/>
  <c r="G840" i="7"/>
  <c r="H840" i="7" s="1"/>
  <c r="G839" i="7"/>
  <c r="H839" i="7" s="1"/>
  <c r="G838" i="7"/>
  <c r="H838" i="7" s="1"/>
  <c r="G837" i="7"/>
  <c r="H837" i="7" s="1"/>
  <c r="G836" i="7"/>
  <c r="H836" i="7" s="1"/>
  <c r="G835" i="7"/>
  <c r="H835" i="7" s="1"/>
  <c r="G834" i="7"/>
  <c r="H834" i="7" s="1"/>
  <c r="G833" i="7"/>
  <c r="H833" i="7" s="1"/>
  <c r="G832" i="7"/>
  <c r="H832" i="7" s="1"/>
  <c r="G831" i="7"/>
  <c r="H831" i="7" s="1"/>
  <c r="G830" i="7"/>
  <c r="H830" i="7" s="1"/>
  <c r="G829" i="7"/>
  <c r="H829" i="7" s="1"/>
  <c r="G828" i="7"/>
  <c r="H828" i="7" s="1"/>
  <c r="G827" i="7"/>
  <c r="H827" i="7" s="1"/>
  <c r="G826" i="7"/>
  <c r="H826" i="7" s="1"/>
  <c r="G825" i="7"/>
  <c r="H825" i="7" s="1"/>
  <c r="G824" i="7"/>
  <c r="H824" i="7" s="1"/>
  <c r="G823" i="7"/>
  <c r="H823" i="7" s="1"/>
  <c r="G822" i="7"/>
  <c r="H822" i="7" s="1"/>
  <c r="G821" i="7"/>
  <c r="H821" i="7" s="1"/>
  <c r="G820" i="7"/>
  <c r="H820" i="7" s="1"/>
  <c r="G819" i="7"/>
  <c r="H819" i="7" s="1"/>
  <c r="G818" i="7"/>
  <c r="H818" i="7" s="1"/>
  <c r="G817" i="7"/>
  <c r="H817" i="7" s="1"/>
  <c r="G816" i="7"/>
  <c r="H816" i="7" s="1"/>
  <c r="G815" i="7"/>
  <c r="H815" i="7" s="1"/>
  <c r="G814" i="7"/>
  <c r="H814" i="7" s="1"/>
  <c r="G813" i="7"/>
  <c r="H813" i="7" s="1"/>
  <c r="G812" i="7"/>
  <c r="H812" i="7" s="1"/>
  <c r="G811" i="7"/>
  <c r="H811" i="7" s="1"/>
  <c r="G810" i="7"/>
  <c r="H810" i="7" s="1"/>
  <c r="G809" i="7"/>
  <c r="H809" i="7" s="1"/>
  <c r="G808" i="7"/>
  <c r="H808" i="7" s="1"/>
  <c r="G807" i="7"/>
  <c r="H807" i="7" s="1"/>
  <c r="G806" i="7"/>
  <c r="H806" i="7" s="1"/>
  <c r="G805" i="7"/>
  <c r="H805" i="7" s="1"/>
  <c r="G804" i="7"/>
  <c r="H804" i="7" s="1"/>
  <c r="G803" i="7"/>
  <c r="H803" i="7" s="1"/>
  <c r="G802" i="7"/>
  <c r="H802" i="7" s="1"/>
  <c r="G801" i="7"/>
  <c r="H801" i="7" s="1"/>
  <c r="G800" i="7"/>
  <c r="H800" i="7" s="1"/>
  <c r="G799" i="7"/>
  <c r="H799" i="7" s="1"/>
  <c r="G798" i="7"/>
  <c r="H798" i="7" s="1"/>
  <c r="G797" i="7"/>
  <c r="H797" i="7" s="1"/>
  <c r="G796" i="7"/>
  <c r="H796" i="7" s="1"/>
  <c r="G795" i="7"/>
  <c r="H795" i="7" s="1"/>
  <c r="G794" i="7"/>
  <c r="H794" i="7" s="1"/>
  <c r="G793" i="7"/>
  <c r="H793" i="7" s="1"/>
  <c r="G792" i="7"/>
  <c r="H792" i="7" s="1"/>
  <c r="G791" i="7"/>
  <c r="H791" i="7" s="1"/>
  <c r="G846" i="7"/>
  <c r="H846" i="7" s="1"/>
  <c r="G845" i="7"/>
  <c r="H845" i="7" s="1"/>
  <c r="G844" i="7"/>
  <c r="H844" i="7" s="1"/>
  <c r="G843" i="7"/>
  <c r="H843" i="7" s="1"/>
  <c r="G842" i="7"/>
  <c r="H842" i="7" s="1"/>
  <c r="G772" i="7"/>
  <c r="H772" i="7" s="1"/>
  <c r="G771" i="7"/>
  <c r="H771" i="7" s="1"/>
  <c r="G744" i="7"/>
  <c r="H744" i="7" s="1"/>
  <c r="G743" i="7"/>
  <c r="H743" i="7" s="1"/>
  <c r="G742" i="7"/>
  <c r="H742" i="7" s="1"/>
  <c r="G741" i="7"/>
  <c r="H741" i="7" s="1"/>
  <c r="G740" i="7"/>
  <c r="H740" i="7" s="1"/>
  <c r="G739" i="7"/>
  <c r="H739" i="7" s="1"/>
  <c r="G738" i="7"/>
  <c r="H738" i="7" s="1"/>
  <c r="G737" i="7"/>
  <c r="H737" i="7" s="1"/>
  <c r="G736" i="7"/>
  <c r="H736" i="7" s="1"/>
  <c r="G735" i="7"/>
  <c r="H735" i="7" s="1"/>
  <c r="G734" i="7"/>
  <c r="H734" i="7" s="1"/>
  <c r="G733" i="7"/>
  <c r="H733" i="7" s="1"/>
  <c r="G732" i="7"/>
  <c r="H732" i="7" s="1"/>
  <c r="G731" i="7"/>
  <c r="H731" i="7" s="1"/>
  <c r="G730" i="7"/>
  <c r="H730" i="7" s="1"/>
  <c r="G729" i="7"/>
  <c r="H729" i="7" s="1"/>
  <c r="G728" i="7"/>
  <c r="H728" i="7" s="1"/>
  <c r="G727" i="7"/>
  <c r="H727" i="7" s="1"/>
  <c r="G726" i="7"/>
  <c r="H726" i="7" s="1"/>
  <c r="G720" i="7"/>
  <c r="H720" i="7" s="1"/>
  <c r="G719" i="7"/>
  <c r="H719" i="7" s="1"/>
  <c r="G718" i="7"/>
  <c r="H718" i="7" s="1"/>
  <c r="G576" i="7"/>
  <c r="H576" i="7" s="1"/>
  <c r="G575" i="7"/>
  <c r="H575" i="7" s="1"/>
  <c r="G574" i="7"/>
  <c r="H574" i="7" s="1"/>
  <c r="G573" i="7"/>
  <c r="H573" i="7" s="1"/>
  <c r="G572" i="7"/>
  <c r="H572" i="7" s="1"/>
  <c r="G569" i="7"/>
  <c r="H569" i="7" s="1"/>
  <c r="G568" i="7"/>
  <c r="H568" i="7" s="1"/>
  <c r="G522" i="7"/>
  <c r="H522" i="7" s="1"/>
  <c r="G521" i="7"/>
  <c r="H521" i="7" s="1"/>
  <c r="G520" i="7"/>
  <c r="H520" i="7" s="1"/>
  <c r="G519" i="7"/>
  <c r="H519" i="7" s="1"/>
  <c r="G502" i="7"/>
  <c r="H502" i="7" s="1"/>
  <c r="G501" i="7"/>
  <c r="H501" i="7" s="1"/>
  <c r="G500" i="7"/>
  <c r="H500" i="7" s="1"/>
  <c r="G499" i="7"/>
  <c r="H499" i="7" s="1"/>
  <c r="G498" i="7"/>
  <c r="H498" i="7" s="1"/>
  <c r="G497" i="7"/>
  <c r="H497" i="7" s="1"/>
  <c r="G496" i="7"/>
  <c r="H496" i="7" s="1"/>
  <c r="G495" i="7"/>
  <c r="H495" i="7" s="1"/>
  <c r="G494" i="7"/>
  <c r="H494" i="7" s="1"/>
  <c r="G493" i="7"/>
  <c r="H493" i="7" s="1"/>
  <c r="G504" i="7"/>
  <c r="H504" i="7" s="1"/>
  <c r="G503" i="7"/>
  <c r="H503" i="7" s="1"/>
  <c r="G392" i="7"/>
  <c r="H392" i="7" s="1"/>
  <c r="G391" i="7"/>
  <c r="H391" i="7" s="1"/>
  <c r="G382" i="7"/>
  <c r="H382" i="7" s="1"/>
  <c r="G381" i="7"/>
  <c r="H381" i="7" s="1"/>
  <c r="G378" i="7"/>
  <c r="H378" i="7" s="1"/>
  <c r="G377" i="7"/>
  <c r="H377" i="7" s="1"/>
  <c r="G376" i="7"/>
  <c r="H376" i="7" s="1"/>
  <c r="G375" i="7"/>
  <c r="H375" i="7" s="1"/>
  <c r="G374" i="7"/>
  <c r="H374" i="7" s="1"/>
  <c r="G373" i="7"/>
  <c r="H373" i="7" s="1"/>
  <c r="G372" i="7"/>
  <c r="H372" i="7" s="1"/>
  <c r="G355" i="7"/>
  <c r="H355" i="7" s="1"/>
  <c r="G354" i="7"/>
  <c r="H354" i="7" s="1"/>
  <c r="G353" i="7"/>
  <c r="H353" i="7" s="1"/>
  <c r="G352" i="7"/>
  <c r="H352" i="7" s="1"/>
  <c r="G347" i="7"/>
  <c r="H347" i="7" s="1"/>
  <c r="G346" i="7"/>
  <c r="H346" i="7" s="1"/>
  <c r="G317" i="7"/>
  <c r="H317" i="7" s="1"/>
  <c r="G312" i="7"/>
  <c r="H312" i="7" s="1"/>
  <c r="G311" i="7"/>
  <c r="H311" i="7" s="1"/>
  <c r="G310" i="7"/>
  <c r="H310" i="7" s="1"/>
  <c r="G309" i="7"/>
  <c r="H309" i="7" s="1"/>
  <c r="G308" i="7"/>
  <c r="H308" i="7" s="1"/>
  <c r="G307" i="7"/>
  <c r="H307" i="7" s="1"/>
  <c r="G306" i="7"/>
  <c r="H306" i="7" s="1"/>
  <c r="G305" i="7"/>
  <c r="H305" i="7" s="1"/>
  <c r="G304" i="7"/>
  <c r="H304" i="7" s="1"/>
  <c r="G303" i="7"/>
  <c r="H303" i="7" s="1"/>
  <c r="G302" i="7"/>
  <c r="H302" i="7" s="1"/>
  <c r="G301" i="7"/>
  <c r="H301" i="7" s="1"/>
  <c r="G300" i="7"/>
  <c r="H300" i="7" s="1"/>
  <c r="G299" i="7"/>
  <c r="H299" i="7" s="1"/>
  <c r="G296" i="7"/>
  <c r="H296" i="7" s="1"/>
  <c r="G295" i="7"/>
  <c r="H295" i="7" s="1"/>
  <c r="G284" i="7"/>
  <c r="H284" i="7" s="1"/>
  <c r="G273" i="7"/>
  <c r="H273" i="7" s="1"/>
  <c r="G272" i="7"/>
  <c r="H272" i="7" s="1"/>
  <c r="G271" i="7"/>
  <c r="H271" i="7" s="1"/>
  <c r="G270" i="7"/>
  <c r="H270" i="7" s="1"/>
  <c r="G269" i="7"/>
  <c r="H269" i="7" s="1"/>
  <c r="G268" i="7"/>
  <c r="H268" i="7" s="1"/>
  <c r="G267" i="7"/>
  <c r="H267" i="7" s="1"/>
  <c r="G266" i="7"/>
  <c r="H266" i="7" s="1"/>
  <c r="G265" i="7"/>
  <c r="H265" i="7" s="1"/>
  <c r="G264" i="7"/>
  <c r="H264" i="7" s="1"/>
  <c r="G259" i="7"/>
  <c r="H259" i="7" s="1"/>
  <c r="G258" i="7"/>
  <c r="H258" i="7" s="1"/>
  <c r="G225" i="7"/>
  <c r="H225" i="7" s="1"/>
  <c r="G215" i="7"/>
  <c r="H215" i="7" s="1"/>
  <c r="G214" i="7"/>
  <c r="H214" i="7" s="1"/>
  <c r="G205" i="7"/>
  <c r="H205" i="7" s="1"/>
  <c r="G204" i="7"/>
  <c r="H204" i="7" s="1"/>
  <c r="G203" i="7"/>
  <c r="H203" i="7" s="1"/>
  <c r="G197" i="7"/>
  <c r="H197" i="7" s="1"/>
  <c r="G196" i="7"/>
  <c r="H196" i="7" s="1"/>
  <c r="G195" i="7"/>
  <c r="H195" i="7" s="1"/>
  <c r="G194" i="7"/>
  <c r="H194" i="7" s="1"/>
  <c r="G193" i="7"/>
  <c r="H193" i="7" s="1"/>
  <c r="G192" i="7"/>
  <c r="H192" i="7" s="1"/>
  <c r="G180" i="7"/>
  <c r="H180" i="7" s="1"/>
  <c r="G179" i="7"/>
  <c r="H179" i="7" s="1"/>
  <c r="G178" i="7"/>
  <c r="H178" i="7" s="1"/>
  <c r="G163" i="7"/>
  <c r="H163" i="7" s="1"/>
  <c r="G162" i="7"/>
  <c r="H162" i="7" s="1"/>
  <c r="G161" i="7"/>
  <c r="H161" i="7" s="1"/>
  <c r="G150" i="7"/>
  <c r="H150" i="7" s="1"/>
  <c r="G149" i="7"/>
  <c r="H149" i="7" s="1"/>
  <c r="G148" i="7"/>
  <c r="H148" i="7" s="1"/>
  <c r="G147" i="7"/>
  <c r="H147" i="7" s="1"/>
  <c r="G146" i="7"/>
  <c r="H146" i="7" s="1"/>
  <c r="G145" i="7"/>
  <c r="H145" i="7" s="1"/>
  <c r="G144" i="7"/>
  <c r="H144" i="7" s="1"/>
  <c r="G143" i="7"/>
  <c r="H143" i="7" s="1"/>
  <c r="G142" i="7"/>
  <c r="H142" i="7" s="1"/>
  <c r="G141" i="7"/>
  <c r="H141" i="7" s="1"/>
  <c r="G140" i="7"/>
  <c r="H140" i="7" s="1"/>
  <c r="G139" i="7"/>
  <c r="H139" i="7" s="1"/>
  <c r="G138" i="7"/>
  <c r="H138" i="7" s="1"/>
  <c r="G137" i="7"/>
  <c r="H137" i="7" s="1"/>
  <c r="G132" i="7"/>
  <c r="H132" i="7" s="1"/>
  <c r="G117" i="7"/>
  <c r="H117" i="7" s="1"/>
  <c r="G116" i="7"/>
  <c r="H116" i="7" s="1"/>
  <c r="G115" i="7"/>
  <c r="H115" i="7" s="1"/>
  <c r="G114" i="7"/>
  <c r="H114" i="7" s="1"/>
  <c r="G113" i="7"/>
  <c r="H113" i="7" s="1"/>
  <c r="G112" i="7"/>
  <c r="H112" i="7" s="1"/>
  <c r="G111" i="7"/>
  <c r="H111" i="7" s="1"/>
  <c r="G110" i="7"/>
  <c r="H110" i="7" s="1"/>
  <c r="G109" i="7"/>
  <c r="H109" i="7" s="1"/>
  <c r="G108" i="7"/>
  <c r="H108" i="7" s="1"/>
  <c r="G107" i="7"/>
  <c r="H107" i="7" s="1"/>
  <c r="G106" i="7"/>
  <c r="H106" i="7" s="1"/>
  <c r="G105" i="7"/>
  <c r="H105" i="7" s="1"/>
  <c r="G104" i="7"/>
  <c r="H104" i="7" s="1"/>
  <c r="G103" i="7"/>
  <c r="H103" i="7" s="1"/>
  <c r="G85" i="7"/>
  <c r="H85" i="7" s="1"/>
  <c r="G84" i="7"/>
  <c r="H84" i="7" s="1"/>
  <c r="G83" i="7"/>
  <c r="H83" i="7" s="1"/>
  <c r="H653" i="7" l="1"/>
  <c r="H889" i="7"/>
  <c r="H890" i="7" s="1"/>
  <c r="D19" i="9" s="1"/>
  <c r="H577" i="7"/>
  <c r="H505" i="7"/>
  <c r="H313" i="7"/>
  <c r="H297" i="7"/>
  <c r="H151" i="7"/>
  <c r="G48" i="7" l="1"/>
  <c r="H48" i="7" s="1"/>
  <c r="G33" i="7"/>
  <c r="H33" i="7" s="1"/>
  <c r="G35" i="7"/>
  <c r="H35" i="7" s="1"/>
  <c r="G34" i="7"/>
  <c r="H34" i="7" s="1"/>
  <c r="B13" i="8" l="1"/>
  <c r="B12" i="8"/>
  <c r="G969" i="7"/>
  <c r="H969" i="7" s="1"/>
  <c r="G968" i="7"/>
  <c r="H968" i="7" s="1"/>
  <c r="G938" i="7"/>
  <c r="H938" i="7" s="1"/>
  <c r="G939" i="7"/>
  <c r="H939" i="7" s="1"/>
  <c r="G940" i="7"/>
  <c r="H940" i="7" s="1"/>
  <c r="G941" i="7"/>
  <c r="H941" i="7" s="1"/>
  <c r="G942" i="7"/>
  <c r="H942" i="7" s="1"/>
  <c r="G943" i="7"/>
  <c r="H943" i="7" s="1"/>
  <c r="G944" i="7"/>
  <c r="H944" i="7" s="1"/>
  <c r="G945" i="7"/>
  <c r="H945" i="7" s="1"/>
  <c r="G946" i="7"/>
  <c r="H946" i="7" s="1"/>
  <c r="G947" i="7"/>
  <c r="H947" i="7" s="1"/>
  <c r="G948" i="7"/>
  <c r="H948" i="7" s="1"/>
  <c r="G949" i="7"/>
  <c r="H949" i="7" s="1"/>
  <c r="G950" i="7"/>
  <c r="H950" i="7" s="1"/>
  <c r="G951" i="7"/>
  <c r="H951" i="7" s="1"/>
  <c r="G952" i="7"/>
  <c r="H952" i="7" s="1"/>
  <c r="G953" i="7"/>
  <c r="H953" i="7" s="1"/>
  <c r="G954" i="7"/>
  <c r="H954" i="7" s="1"/>
  <c r="G955" i="7"/>
  <c r="H955" i="7" s="1"/>
  <c r="G956" i="7"/>
  <c r="H956" i="7" s="1"/>
  <c r="G957" i="7"/>
  <c r="H957" i="7" s="1"/>
  <c r="G958" i="7"/>
  <c r="H958" i="7" s="1"/>
  <c r="G959" i="7"/>
  <c r="H959" i="7" s="1"/>
  <c r="G963" i="7"/>
  <c r="H963" i="7" s="1"/>
  <c r="G964" i="7"/>
  <c r="H964" i="7" s="1"/>
  <c r="G965" i="7"/>
  <c r="H965" i="7" s="1"/>
  <c r="G937" i="7"/>
  <c r="H937" i="7" s="1"/>
  <c r="G934" i="7"/>
  <c r="H934" i="7" s="1"/>
  <c r="G935" i="7"/>
  <c r="H935" i="7" s="1"/>
  <c r="G936" i="7"/>
  <c r="H936" i="7" s="1"/>
  <c r="G933" i="7"/>
  <c r="H933" i="7" s="1"/>
  <c r="G927" i="7"/>
  <c r="H927" i="7" s="1"/>
  <c r="G928" i="7"/>
  <c r="H928" i="7" s="1"/>
  <c r="G929" i="7"/>
  <c r="H929" i="7" s="1"/>
  <c r="G930" i="7"/>
  <c r="H930" i="7" s="1"/>
  <c r="G931" i="7"/>
  <c r="H931" i="7" s="1"/>
  <c r="G932" i="7"/>
  <c r="H932" i="7" s="1"/>
  <c r="G926" i="7"/>
  <c r="H926" i="7" s="1"/>
  <c r="G905" i="7"/>
  <c r="H905" i="7" s="1"/>
  <c r="G906" i="7"/>
  <c r="H906" i="7" s="1"/>
  <c r="G907" i="7"/>
  <c r="H907" i="7" s="1"/>
  <c r="G908" i="7"/>
  <c r="H908" i="7" s="1"/>
  <c r="G909" i="7"/>
  <c r="H909" i="7" s="1"/>
  <c r="G910" i="7"/>
  <c r="H910" i="7" s="1"/>
  <c r="G911" i="7"/>
  <c r="H911" i="7" s="1"/>
  <c r="G912" i="7"/>
  <c r="H912" i="7" s="1"/>
  <c r="G913" i="7"/>
  <c r="H913" i="7" s="1"/>
  <c r="G914" i="7"/>
  <c r="H914" i="7" s="1"/>
  <c r="G915" i="7"/>
  <c r="H915" i="7" s="1"/>
  <c r="G916" i="7"/>
  <c r="H916" i="7" s="1"/>
  <c r="G917" i="7"/>
  <c r="H917" i="7" s="1"/>
  <c r="G918" i="7"/>
  <c r="H918" i="7" s="1"/>
  <c r="G919" i="7"/>
  <c r="H919" i="7" s="1"/>
  <c r="G920" i="7"/>
  <c r="H920" i="7" s="1"/>
  <c r="G921" i="7"/>
  <c r="H921" i="7" s="1"/>
  <c r="G922" i="7"/>
  <c r="H922" i="7" s="1"/>
  <c r="G923" i="7"/>
  <c r="H923" i="7" s="1"/>
  <c r="G904" i="7"/>
  <c r="H904" i="7" s="1"/>
  <c r="G901" i="7"/>
  <c r="H901" i="7" s="1"/>
  <c r="G900" i="7"/>
  <c r="H900" i="7" s="1"/>
  <c r="G895" i="7"/>
  <c r="H895" i="7" s="1"/>
  <c r="G897" i="7"/>
  <c r="H897" i="7" s="1"/>
  <c r="G894" i="7"/>
  <c r="H894" i="7" s="1"/>
  <c r="G854" i="7"/>
  <c r="H854" i="7" s="1"/>
  <c r="H855" i="7" s="1"/>
  <c r="G848" i="7"/>
  <c r="H848" i="7" s="1"/>
  <c r="G849" i="7"/>
  <c r="H849" i="7" s="1"/>
  <c r="G850" i="7"/>
  <c r="H850" i="7" s="1"/>
  <c r="G851" i="7"/>
  <c r="H851" i="7" s="1"/>
  <c r="G847" i="7"/>
  <c r="H847" i="7" s="1"/>
  <c r="G778" i="7"/>
  <c r="H778" i="7" s="1"/>
  <c r="G779" i="7"/>
  <c r="H779" i="7" s="1"/>
  <c r="G780" i="7"/>
  <c r="H780" i="7" s="1"/>
  <c r="G781" i="7"/>
  <c r="H781" i="7" s="1"/>
  <c r="G782" i="7"/>
  <c r="H782" i="7" s="1"/>
  <c r="G783" i="7"/>
  <c r="H783" i="7" s="1"/>
  <c r="G784" i="7"/>
  <c r="H784" i="7" s="1"/>
  <c r="G785" i="7"/>
  <c r="H785" i="7" s="1"/>
  <c r="G777" i="7"/>
  <c r="H777" i="7" s="1"/>
  <c r="G774" i="7"/>
  <c r="H774" i="7" s="1"/>
  <c r="G773" i="7"/>
  <c r="H773" i="7" s="1"/>
  <c r="G765" i="7"/>
  <c r="H765" i="7" s="1"/>
  <c r="G766" i="7"/>
  <c r="H766" i="7" s="1"/>
  <c r="G767" i="7"/>
  <c r="H767" i="7" s="1"/>
  <c r="G764" i="7"/>
  <c r="H764" i="7" s="1"/>
  <c r="H970" i="7" l="1"/>
  <c r="H966" i="7"/>
  <c r="H902" i="7"/>
  <c r="H924" i="7"/>
  <c r="H898" i="7"/>
  <c r="H852" i="7"/>
  <c r="H856" i="7" s="1"/>
  <c r="D18" i="9" s="1"/>
  <c r="H786" i="7"/>
  <c r="H775" i="7"/>
  <c r="G757" i="7"/>
  <c r="H757" i="7" s="1"/>
  <c r="G758" i="7"/>
  <c r="H758" i="7" s="1"/>
  <c r="G759" i="7"/>
  <c r="H759" i="7" s="1"/>
  <c r="G760" i="7"/>
  <c r="H760" i="7" s="1"/>
  <c r="G761" i="7"/>
  <c r="H761" i="7" s="1"/>
  <c r="G756" i="7"/>
  <c r="H756" i="7" s="1"/>
  <c r="G746" i="7"/>
  <c r="H746" i="7" s="1"/>
  <c r="G747" i="7"/>
  <c r="H747" i="7" s="1"/>
  <c r="G748" i="7"/>
  <c r="H748" i="7" s="1"/>
  <c r="G749" i="7"/>
  <c r="H749" i="7" s="1"/>
  <c r="G750" i="7"/>
  <c r="H750" i="7" s="1"/>
  <c r="G751" i="7"/>
  <c r="H751" i="7" s="1"/>
  <c r="G752" i="7"/>
  <c r="H752" i="7" s="1"/>
  <c r="G753" i="7"/>
  <c r="H753" i="7" s="1"/>
  <c r="G745" i="7"/>
  <c r="H745" i="7" s="1"/>
  <c r="G715" i="7"/>
  <c r="H715" i="7" s="1"/>
  <c r="G716" i="7"/>
  <c r="H716" i="7" s="1"/>
  <c r="G717" i="7"/>
  <c r="H717" i="7" s="1"/>
  <c r="G721" i="7"/>
  <c r="H721" i="7" s="1"/>
  <c r="G722" i="7"/>
  <c r="H722" i="7" s="1"/>
  <c r="G723" i="7"/>
  <c r="H723" i="7" s="1"/>
  <c r="G714" i="7"/>
  <c r="H714" i="7" s="1"/>
  <c r="G706" i="7"/>
  <c r="H706" i="7" s="1"/>
  <c r="G707" i="7"/>
  <c r="H707" i="7" s="1"/>
  <c r="G708" i="7"/>
  <c r="H708" i="7" s="1"/>
  <c r="G709" i="7"/>
  <c r="H709" i="7" s="1"/>
  <c r="G710" i="7"/>
  <c r="H710" i="7" s="1"/>
  <c r="G711" i="7"/>
  <c r="H711" i="7" s="1"/>
  <c r="G705" i="7"/>
  <c r="H705" i="7" s="1"/>
  <c r="G674" i="7"/>
  <c r="H674" i="7" s="1"/>
  <c r="G675" i="7"/>
  <c r="H675" i="7" s="1"/>
  <c r="G676" i="7"/>
  <c r="H676" i="7" s="1"/>
  <c r="G677" i="7"/>
  <c r="H677" i="7" s="1"/>
  <c r="G678" i="7"/>
  <c r="H678" i="7" s="1"/>
  <c r="G679" i="7"/>
  <c r="H679" i="7" s="1"/>
  <c r="G680" i="7"/>
  <c r="H680" i="7" s="1"/>
  <c r="G681" i="7"/>
  <c r="H681" i="7" s="1"/>
  <c r="G684" i="7"/>
  <c r="H684" i="7" s="1"/>
  <c r="G685" i="7"/>
  <c r="H685" i="7" s="1"/>
  <c r="G686" i="7"/>
  <c r="H686" i="7" s="1"/>
  <c r="G687" i="7"/>
  <c r="H687" i="7" s="1"/>
  <c r="G688" i="7"/>
  <c r="H688" i="7" s="1"/>
  <c r="G689" i="7"/>
  <c r="H689" i="7" s="1"/>
  <c r="G690" i="7"/>
  <c r="H690" i="7" s="1"/>
  <c r="G693" i="7"/>
  <c r="H693" i="7" s="1"/>
  <c r="G694" i="7"/>
  <c r="H694" i="7" s="1"/>
  <c r="G697" i="7"/>
  <c r="H697" i="7" s="1"/>
  <c r="G698" i="7"/>
  <c r="H698" i="7" s="1"/>
  <c r="G699" i="7"/>
  <c r="H699" i="7" s="1"/>
  <c r="G700" i="7"/>
  <c r="H700" i="7" s="1"/>
  <c r="G701" i="7"/>
  <c r="H701" i="7" s="1"/>
  <c r="G702" i="7"/>
  <c r="H702" i="7" s="1"/>
  <c r="G673" i="7"/>
  <c r="H673" i="7" s="1"/>
  <c r="G584" i="7"/>
  <c r="H584" i="7" s="1"/>
  <c r="G585" i="7"/>
  <c r="H585" i="7" s="1"/>
  <c r="G586" i="7"/>
  <c r="H586" i="7" s="1"/>
  <c r="G587" i="7"/>
  <c r="H587" i="7" s="1"/>
  <c r="G588" i="7"/>
  <c r="H588" i="7" s="1"/>
  <c r="G589" i="7"/>
  <c r="H589" i="7" s="1"/>
  <c r="G590" i="7"/>
  <c r="H590" i="7" s="1"/>
  <c r="G591" i="7"/>
  <c r="H591" i="7" s="1"/>
  <c r="G592" i="7"/>
  <c r="H592" i="7" s="1"/>
  <c r="G593" i="7"/>
  <c r="H593" i="7" s="1"/>
  <c r="G594" i="7"/>
  <c r="H594" i="7" s="1"/>
  <c r="G595" i="7"/>
  <c r="H595" i="7" s="1"/>
  <c r="G596" i="7"/>
  <c r="H596" i="7" s="1"/>
  <c r="G597" i="7"/>
  <c r="H597" i="7" s="1"/>
  <c r="G655" i="7"/>
  <c r="H655" i="7" s="1"/>
  <c r="G656" i="7"/>
  <c r="H656" i="7" s="1"/>
  <c r="G657" i="7"/>
  <c r="H657" i="7" s="1"/>
  <c r="G658" i="7"/>
  <c r="H658" i="7" s="1"/>
  <c r="G659" i="7"/>
  <c r="H659" i="7" s="1"/>
  <c r="G662" i="7"/>
  <c r="H662" i="7" s="1"/>
  <c r="G663" i="7"/>
  <c r="H663" i="7" s="1"/>
  <c r="G664" i="7"/>
  <c r="H664" i="7" s="1"/>
  <c r="G665" i="7"/>
  <c r="H665" i="7" s="1"/>
  <c r="G666" i="7"/>
  <c r="H666" i="7" s="1"/>
  <c r="G667" i="7"/>
  <c r="H667" i="7" s="1"/>
  <c r="G668" i="7"/>
  <c r="H668" i="7" s="1"/>
  <c r="G669" i="7"/>
  <c r="H669" i="7" s="1"/>
  <c r="G670" i="7"/>
  <c r="H670" i="7" s="1"/>
  <c r="G583" i="7"/>
  <c r="H583" i="7" s="1"/>
  <c r="G530" i="7"/>
  <c r="H530" i="7" s="1"/>
  <c r="G531" i="7"/>
  <c r="H531" i="7" s="1"/>
  <c r="G532" i="7"/>
  <c r="H532" i="7" s="1"/>
  <c r="G533" i="7"/>
  <c r="H533" i="7" s="1"/>
  <c r="G534" i="7"/>
  <c r="H534" i="7" s="1"/>
  <c r="G535" i="7"/>
  <c r="H535" i="7" s="1"/>
  <c r="G538" i="7"/>
  <c r="H538" i="7" s="1"/>
  <c r="G539" i="7"/>
  <c r="H539" i="7" s="1"/>
  <c r="G540" i="7"/>
  <c r="H540" i="7" s="1"/>
  <c r="G541" i="7"/>
  <c r="H541" i="7" s="1"/>
  <c r="G542" i="7"/>
  <c r="H542" i="7" s="1"/>
  <c r="G543" i="7"/>
  <c r="H543" i="7" s="1"/>
  <c r="G544" i="7"/>
  <c r="H544" i="7" s="1"/>
  <c r="G545" i="7"/>
  <c r="H545" i="7" s="1"/>
  <c r="G548" i="7"/>
  <c r="H548" i="7" s="1"/>
  <c r="G549" i="7"/>
  <c r="H549" i="7" s="1"/>
  <c r="G550" i="7"/>
  <c r="H550" i="7" s="1"/>
  <c r="G551" i="7"/>
  <c r="H551" i="7" s="1"/>
  <c r="G552" i="7"/>
  <c r="H552" i="7" s="1"/>
  <c r="G553" i="7"/>
  <c r="H553" i="7" s="1"/>
  <c r="G554" i="7"/>
  <c r="H554" i="7" s="1"/>
  <c r="G557" i="7"/>
  <c r="H557" i="7" s="1"/>
  <c r="G558" i="7"/>
  <c r="H558" i="7" s="1"/>
  <c r="G561" i="7"/>
  <c r="H561" i="7" s="1"/>
  <c r="G562" i="7"/>
  <c r="H562" i="7" s="1"/>
  <c r="G563" i="7"/>
  <c r="H563" i="7" s="1"/>
  <c r="G566" i="7"/>
  <c r="H566" i="7" s="1"/>
  <c r="G567" i="7"/>
  <c r="H567" i="7" s="1"/>
  <c r="G529" i="7"/>
  <c r="H529" i="7" s="1"/>
  <c r="G406" i="7"/>
  <c r="H406" i="7" s="1"/>
  <c r="G407" i="7"/>
  <c r="H407" i="7" s="1"/>
  <c r="G408" i="7"/>
  <c r="H408" i="7" s="1"/>
  <c r="G411" i="7"/>
  <c r="H411" i="7" s="1"/>
  <c r="G412" i="7"/>
  <c r="H412" i="7" s="1"/>
  <c r="G413" i="7"/>
  <c r="H413" i="7" s="1"/>
  <c r="G414" i="7"/>
  <c r="H414" i="7" s="1"/>
  <c r="G417" i="7"/>
  <c r="H417" i="7" s="1"/>
  <c r="G418" i="7"/>
  <c r="H418" i="7" s="1"/>
  <c r="G419" i="7"/>
  <c r="H419" i="7" s="1"/>
  <c r="G420" i="7"/>
  <c r="H420" i="7" s="1"/>
  <c r="G425" i="7"/>
  <c r="H425" i="7" s="1"/>
  <c r="G426" i="7"/>
  <c r="H426" i="7" s="1"/>
  <c r="G429" i="7"/>
  <c r="H429" i="7" s="1"/>
  <c r="G430" i="7"/>
  <c r="H430" i="7" s="1"/>
  <c r="G431" i="7"/>
  <c r="H431" i="7" s="1"/>
  <c r="G432" i="7"/>
  <c r="H432" i="7" s="1"/>
  <c r="G433" i="7"/>
  <c r="H433" i="7" s="1"/>
  <c r="G434" i="7"/>
  <c r="H434" i="7" s="1"/>
  <c r="G435" i="7"/>
  <c r="H435" i="7" s="1"/>
  <c r="G436" i="7"/>
  <c r="H436" i="7" s="1"/>
  <c r="G437" i="7"/>
  <c r="H437" i="7" s="1"/>
  <c r="G438" i="7"/>
  <c r="H438" i="7" s="1"/>
  <c r="G441" i="7"/>
  <c r="H441" i="7" s="1"/>
  <c r="G442" i="7"/>
  <c r="H442" i="7" s="1"/>
  <c r="G445" i="7"/>
  <c r="H445" i="7" s="1"/>
  <c r="G446" i="7"/>
  <c r="H446" i="7" s="1"/>
  <c r="G447" i="7"/>
  <c r="H447" i="7" s="1"/>
  <c r="G448" i="7"/>
  <c r="H448" i="7" s="1"/>
  <c r="G449" i="7"/>
  <c r="H449" i="7" s="1"/>
  <c r="G450" i="7"/>
  <c r="H450" i="7" s="1"/>
  <c r="G451" i="7"/>
  <c r="H451" i="7" s="1"/>
  <c r="G454" i="7"/>
  <c r="H454" i="7" s="1"/>
  <c r="G455" i="7"/>
  <c r="H455" i="7" s="1"/>
  <c r="G456" i="7"/>
  <c r="H456" i="7" s="1"/>
  <c r="G457" i="7"/>
  <c r="H457" i="7" s="1"/>
  <c r="G458" i="7"/>
  <c r="H458" i="7" s="1"/>
  <c r="G459" i="7"/>
  <c r="H459" i="7" s="1"/>
  <c r="G462" i="7"/>
  <c r="H462" i="7" s="1"/>
  <c r="G463" i="7"/>
  <c r="H463" i="7" s="1"/>
  <c r="G464" i="7"/>
  <c r="H464" i="7" s="1"/>
  <c r="G465" i="7"/>
  <c r="H465" i="7" s="1"/>
  <c r="G468" i="7"/>
  <c r="H468" i="7" s="1"/>
  <c r="G469" i="7"/>
  <c r="H469" i="7" s="1"/>
  <c r="G470" i="7"/>
  <c r="H470" i="7" s="1"/>
  <c r="G471" i="7"/>
  <c r="H471" i="7" s="1"/>
  <c r="G472" i="7"/>
  <c r="H472" i="7" s="1"/>
  <c r="G473" i="7"/>
  <c r="H473" i="7" s="1"/>
  <c r="G474" i="7"/>
  <c r="H474" i="7" s="1"/>
  <c r="G477" i="7"/>
  <c r="H477" i="7" s="1"/>
  <c r="G478" i="7"/>
  <c r="H478" i="7" s="1"/>
  <c r="G481" i="7"/>
  <c r="H481" i="7" s="1"/>
  <c r="G482" i="7"/>
  <c r="H482" i="7" s="1"/>
  <c r="G483" i="7"/>
  <c r="H483" i="7" s="1"/>
  <c r="G484" i="7"/>
  <c r="H484" i="7" s="1"/>
  <c r="G489" i="7"/>
  <c r="H489" i="7" s="1"/>
  <c r="G490" i="7"/>
  <c r="H490" i="7" s="1"/>
  <c r="G507" i="7"/>
  <c r="H507" i="7" s="1"/>
  <c r="G508" i="7"/>
  <c r="H508" i="7" s="1"/>
  <c r="G509" i="7"/>
  <c r="H509" i="7" s="1"/>
  <c r="G510" i="7"/>
  <c r="H510" i="7" s="1"/>
  <c r="G513" i="7"/>
  <c r="H513" i="7" s="1"/>
  <c r="G514" i="7"/>
  <c r="H514" i="7" s="1"/>
  <c r="G515" i="7"/>
  <c r="H515" i="7" s="1"/>
  <c r="G516" i="7"/>
  <c r="H516" i="7" s="1"/>
  <c r="G523" i="7"/>
  <c r="H523" i="7" s="1"/>
  <c r="G524" i="7"/>
  <c r="H524" i="7" s="1"/>
  <c r="G525" i="7"/>
  <c r="H525" i="7" s="1"/>
  <c r="G526" i="7"/>
  <c r="H526" i="7" s="1"/>
  <c r="G405" i="7"/>
  <c r="H405" i="7" s="1"/>
  <c r="G402" i="7"/>
  <c r="H402" i="7" s="1"/>
  <c r="G401" i="7"/>
  <c r="H401" i="7" s="1"/>
  <c r="G400" i="7"/>
  <c r="H400" i="7" s="1"/>
  <c r="G399" i="7"/>
  <c r="H399" i="7" s="1"/>
  <c r="G398" i="7"/>
  <c r="H398" i="7" s="1"/>
  <c r="G397" i="7"/>
  <c r="H397" i="7" s="1"/>
  <c r="G390" i="7"/>
  <c r="H390" i="7" s="1"/>
  <c r="G393" i="7"/>
  <c r="H393" i="7" s="1"/>
  <c r="G394" i="7"/>
  <c r="H394" i="7" s="1"/>
  <c r="G389" i="7"/>
  <c r="H389" i="7" s="1"/>
  <c r="G380" i="7"/>
  <c r="H380" i="7" s="1"/>
  <c r="G383" i="7"/>
  <c r="H383" i="7" s="1"/>
  <c r="G384" i="7"/>
  <c r="H384" i="7" s="1"/>
  <c r="G379" i="7"/>
  <c r="H379" i="7" s="1"/>
  <c r="G363" i="7"/>
  <c r="H363" i="7" s="1"/>
  <c r="G362" i="7"/>
  <c r="H362" i="7" s="1"/>
  <c r="H971" i="7" l="1"/>
  <c r="D20" i="9" s="1"/>
  <c r="H762" i="7"/>
  <c r="H703" i="7"/>
  <c r="H712" i="7"/>
  <c r="H754" i="7"/>
  <c r="H724" i="7"/>
  <c r="H682" i="7"/>
  <c r="H695" i="7"/>
  <c r="H691" i="7"/>
  <c r="H671" i="7"/>
  <c r="H527" i="7"/>
  <c r="H555" i="7"/>
  <c r="H546" i="7"/>
  <c r="H479" i="7"/>
  <c r="H511" i="7"/>
  <c r="H421" i="7"/>
  <c r="H385" i="7"/>
  <c r="H660" i="7"/>
  <c r="H485" i="7"/>
  <c r="H598" i="7"/>
  <c r="H564" i="7"/>
  <c r="H559" i="7"/>
  <c r="H536" i="7"/>
  <c r="H517" i="7"/>
  <c r="H570" i="7"/>
  <c r="H427" i="7"/>
  <c r="H452" i="7"/>
  <c r="H460" i="7"/>
  <c r="H409" i="7"/>
  <c r="H491" i="7"/>
  <c r="H443" i="7"/>
  <c r="H466" i="7"/>
  <c r="H415" i="7"/>
  <c r="H439" i="7"/>
  <c r="H475" i="7"/>
  <c r="H403" i="7"/>
  <c r="H395" i="7"/>
  <c r="H364" i="7"/>
  <c r="H370" i="7"/>
  <c r="G357" i="7"/>
  <c r="H357" i="7" s="1"/>
  <c r="G358" i="7"/>
  <c r="H358" i="7" s="1"/>
  <c r="G359" i="7"/>
  <c r="H359" i="7" s="1"/>
  <c r="G356" i="7"/>
  <c r="H356" i="7" s="1"/>
  <c r="G345" i="7"/>
  <c r="H345" i="7" s="1"/>
  <c r="G348" i="7"/>
  <c r="H348" i="7" s="1"/>
  <c r="G349" i="7"/>
  <c r="H349" i="7" s="1"/>
  <c r="G344" i="7"/>
  <c r="H344" i="7" s="1"/>
  <c r="G338" i="7"/>
  <c r="H338" i="7" s="1"/>
  <c r="G339" i="7"/>
  <c r="H339" i="7" s="1"/>
  <c r="G340" i="7"/>
  <c r="H340" i="7" s="1"/>
  <c r="G341" i="7"/>
  <c r="H341" i="7" s="1"/>
  <c r="G337" i="7"/>
  <c r="H337" i="7" s="1"/>
  <c r="G330" i="7"/>
  <c r="H330" i="7" s="1"/>
  <c r="G331" i="7"/>
  <c r="H331" i="7" s="1"/>
  <c r="G332" i="7"/>
  <c r="H332" i="7" s="1"/>
  <c r="G333" i="7"/>
  <c r="H333" i="7" s="1"/>
  <c r="G334" i="7"/>
  <c r="H334" i="7" s="1"/>
  <c r="G329" i="7"/>
  <c r="H329" i="7" s="1"/>
  <c r="G322" i="7"/>
  <c r="H322" i="7" s="1"/>
  <c r="G323" i="7"/>
  <c r="H323" i="7" s="1"/>
  <c r="G324" i="7"/>
  <c r="H324" i="7" s="1"/>
  <c r="G325" i="7"/>
  <c r="H325" i="7" s="1"/>
  <c r="G326" i="7"/>
  <c r="H326" i="7" s="1"/>
  <c r="G321" i="7"/>
  <c r="H321" i="7" s="1"/>
  <c r="G316" i="7"/>
  <c r="H316" i="7" s="1"/>
  <c r="G318" i="7"/>
  <c r="H318" i="7" s="1"/>
  <c r="G315" i="7"/>
  <c r="H315" i="7" s="1"/>
  <c r="G289" i="7"/>
  <c r="H289" i="7" s="1"/>
  <c r="G288" i="7"/>
  <c r="H288" i="7" s="1"/>
  <c r="G285" i="7"/>
  <c r="H285" i="7" s="1"/>
  <c r="G283" i="7"/>
  <c r="H283" i="7" s="1"/>
  <c r="G280" i="7"/>
  <c r="H280" i="7" s="1"/>
  <c r="G275" i="7"/>
  <c r="H275" i="7" s="1"/>
  <c r="G276" i="7"/>
  <c r="H276" i="7" s="1"/>
  <c r="G277" i="7"/>
  <c r="H277" i="7" s="1"/>
  <c r="G274" i="7"/>
  <c r="H274" i="7" s="1"/>
  <c r="G255" i="7"/>
  <c r="H255" i="7" s="1"/>
  <c r="G256" i="7"/>
  <c r="H256" i="7" s="1"/>
  <c r="G257" i="7"/>
  <c r="H257" i="7" s="1"/>
  <c r="G260" i="7"/>
  <c r="H260" i="7" s="1"/>
  <c r="G261" i="7"/>
  <c r="H261" i="7" s="1"/>
  <c r="G254" i="7"/>
  <c r="H254" i="7" s="1"/>
  <c r="G251" i="7"/>
  <c r="H251" i="7" s="1"/>
  <c r="G250" i="7"/>
  <c r="H250" i="7" s="1"/>
  <c r="G247" i="7"/>
  <c r="H247" i="7" s="1"/>
  <c r="G246" i="7"/>
  <c r="H246" i="7" s="1"/>
  <c r="G240" i="7"/>
  <c r="H240" i="7" s="1"/>
  <c r="G241" i="7"/>
  <c r="H241" i="7" s="1"/>
  <c r="G242" i="7"/>
  <c r="H242" i="7" s="1"/>
  <c r="G243" i="7"/>
  <c r="H243" i="7" s="1"/>
  <c r="G239" i="7"/>
  <c r="H239" i="7" s="1"/>
  <c r="G236" i="7"/>
  <c r="H236" i="7" s="1"/>
  <c r="G230" i="7"/>
  <c r="H230" i="7" s="1"/>
  <c r="G231" i="7"/>
  <c r="H231" i="7" s="1"/>
  <c r="G232" i="7"/>
  <c r="H232" i="7" s="1"/>
  <c r="G233" i="7"/>
  <c r="H233" i="7" s="1"/>
  <c r="G229" i="7"/>
  <c r="H229" i="7" s="1"/>
  <c r="G226" i="7"/>
  <c r="H226" i="7" s="1"/>
  <c r="G224" i="7"/>
  <c r="H224" i="7" s="1"/>
  <c r="G220" i="7"/>
  <c r="H220" i="7" s="1"/>
  <c r="G221" i="7"/>
  <c r="H221" i="7" s="1"/>
  <c r="G219" i="7"/>
  <c r="H219" i="7" s="1"/>
  <c r="G216" i="7"/>
  <c r="H216" i="7" s="1"/>
  <c r="H217" i="7" s="1"/>
  <c r="G211" i="7"/>
  <c r="H211" i="7" s="1"/>
  <c r="G206" i="7"/>
  <c r="H206" i="7" s="1"/>
  <c r="G207" i="7"/>
  <c r="H207" i="7" s="1"/>
  <c r="G208" i="7"/>
  <c r="H208" i="7" s="1"/>
  <c r="G202" i="7"/>
  <c r="H202" i="7" s="1"/>
  <c r="G199" i="7"/>
  <c r="H199" i="7" s="1"/>
  <c r="G198" i="7"/>
  <c r="H198" i="7" s="1"/>
  <c r="G187" i="7"/>
  <c r="H187" i="7" s="1"/>
  <c r="G188" i="7"/>
  <c r="H188" i="7" s="1"/>
  <c r="G189" i="7"/>
  <c r="H189" i="7" s="1"/>
  <c r="G186" i="7"/>
  <c r="H186" i="7" s="1"/>
  <c r="G181" i="7"/>
  <c r="H181" i="7" s="1"/>
  <c r="G182" i="7"/>
  <c r="H182" i="7" s="1"/>
  <c r="G183" i="7"/>
  <c r="H183" i="7" s="1"/>
  <c r="G177" i="7"/>
  <c r="H177" i="7" s="1"/>
  <c r="G174" i="7"/>
  <c r="H174" i="7" s="1"/>
  <c r="G168" i="7"/>
  <c r="H168" i="7" s="1"/>
  <c r="G169" i="7"/>
  <c r="H169" i="7" s="1"/>
  <c r="G170" i="7"/>
  <c r="H170" i="7" s="1"/>
  <c r="G171" i="7"/>
  <c r="H171" i="7" s="1"/>
  <c r="G167" i="7"/>
  <c r="H167" i="7" s="1"/>
  <c r="G164" i="7"/>
  <c r="H164" i="7" s="1"/>
  <c r="H165" i="7" s="1"/>
  <c r="G158" i="7"/>
  <c r="H158" i="7" s="1"/>
  <c r="H787" i="7" l="1"/>
  <c r="D17" i="9" s="1"/>
  <c r="H422" i="7"/>
  <c r="H578" i="7"/>
  <c r="H486" i="7"/>
  <c r="H342" i="7"/>
  <c r="H360" i="7"/>
  <c r="H335" i="7"/>
  <c r="H319" i="7"/>
  <c r="H327" i="7"/>
  <c r="H286" i="7"/>
  <c r="H290" i="7"/>
  <c r="H278" i="7"/>
  <c r="H184" i="7"/>
  <c r="H200" i="7"/>
  <c r="H209" i="7"/>
  <c r="H190" i="7"/>
  <c r="H172" i="7"/>
  <c r="H281" i="7"/>
  <c r="H350" i="7"/>
  <c r="H222" i="7"/>
  <c r="H227" i="7"/>
  <c r="H262" i="7"/>
  <c r="H248" i="7"/>
  <c r="H252" i="7"/>
  <c r="H244" i="7"/>
  <c r="H234" i="7"/>
  <c r="H212" i="7"/>
  <c r="G154" i="7"/>
  <c r="H154" i="7" s="1"/>
  <c r="G155" i="7"/>
  <c r="H155" i="7" s="1"/>
  <c r="G153" i="7"/>
  <c r="H153" i="7" s="1"/>
  <c r="G126" i="7"/>
  <c r="H126" i="7" s="1"/>
  <c r="G127" i="7"/>
  <c r="H127" i="7" s="1"/>
  <c r="G128" i="7"/>
  <c r="H128" i="7" s="1"/>
  <c r="G129" i="7"/>
  <c r="H129" i="7" s="1"/>
  <c r="G130" i="7"/>
  <c r="H130" i="7" s="1"/>
  <c r="G131" i="7"/>
  <c r="H131" i="7" s="1"/>
  <c r="G133" i="7"/>
  <c r="H133" i="7" s="1"/>
  <c r="G134" i="7"/>
  <c r="H134" i="7" s="1"/>
  <c r="G125" i="7"/>
  <c r="H125" i="7" s="1"/>
  <c r="G119" i="7"/>
  <c r="H119" i="7" s="1"/>
  <c r="G120" i="7"/>
  <c r="H120" i="7" s="1"/>
  <c r="G121" i="7"/>
  <c r="H121" i="7" s="1"/>
  <c r="G122" i="7"/>
  <c r="H122" i="7" s="1"/>
  <c r="G118" i="7"/>
  <c r="H118" i="7" s="1"/>
  <c r="G96" i="7"/>
  <c r="H96" i="7" s="1"/>
  <c r="G97" i="7"/>
  <c r="H97" i="7" s="1"/>
  <c r="G98" i="7"/>
  <c r="H98" i="7" s="1"/>
  <c r="G99" i="7"/>
  <c r="H99" i="7" s="1"/>
  <c r="G100" i="7"/>
  <c r="H100" i="7" s="1"/>
  <c r="G95" i="7"/>
  <c r="H95" i="7" s="1"/>
  <c r="G92" i="7"/>
  <c r="H92" i="7" s="1"/>
  <c r="G91" i="7"/>
  <c r="H91" i="7" s="1"/>
  <c r="G80" i="7"/>
  <c r="H80" i="7" s="1"/>
  <c r="G81" i="7"/>
  <c r="H81" i="7" s="1"/>
  <c r="G82" i="7"/>
  <c r="H82" i="7" s="1"/>
  <c r="G86" i="7"/>
  <c r="H86" i="7" s="1"/>
  <c r="G87" i="7"/>
  <c r="H87" i="7" s="1"/>
  <c r="G88" i="7"/>
  <c r="H88" i="7" s="1"/>
  <c r="G79" i="7"/>
  <c r="H79" i="7" s="1"/>
  <c r="G71" i="7"/>
  <c r="H71" i="7" s="1"/>
  <c r="G72" i="7"/>
  <c r="H72" i="7" s="1"/>
  <c r="G73" i="7"/>
  <c r="H73" i="7" s="1"/>
  <c r="G74" i="7"/>
  <c r="H74" i="7" s="1"/>
  <c r="G75" i="7"/>
  <c r="H75" i="7" s="1"/>
  <c r="G76" i="7"/>
  <c r="H76" i="7" s="1"/>
  <c r="G70" i="7"/>
  <c r="H70" i="7" s="1"/>
  <c r="G62" i="7"/>
  <c r="H62" i="7" s="1"/>
  <c r="G63" i="7"/>
  <c r="H63" i="7" s="1"/>
  <c r="G64" i="7"/>
  <c r="H64" i="7" s="1"/>
  <c r="G65" i="7"/>
  <c r="H65" i="7" s="1"/>
  <c r="G66" i="7"/>
  <c r="H66" i="7" s="1"/>
  <c r="G67" i="7"/>
  <c r="H67" i="7" s="1"/>
  <c r="G61" i="7"/>
  <c r="H61" i="7" s="1"/>
  <c r="G58" i="7"/>
  <c r="H58" i="7" s="1"/>
  <c r="G52" i="7"/>
  <c r="H52" i="7" s="1"/>
  <c r="G53" i="7"/>
  <c r="H53" i="7" s="1"/>
  <c r="G54" i="7"/>
  <c r="H54" i="7" s="1"/>
  <c r="G55" i="7"/>
  <c r="H55" i="7" s="1"/>
  <c r="G51" i="7"/>
  <c r="H51" i="7" s="1"/>
  <c r="G40" i="7"/>
  <c r="H40" i="7" s="1"/>
  <c r="G41" i="7"/>
  <c r="H41" i="7" s="1"/>
  <c r="G42" i="7"/>
  <c r="H42" i="7" s="1"/>
  <c r="G43" i="7"/>
  <c r="H43" i="7" s="1"/>
  <c r="G44" i="7"/>
  <c r="H44" i="7" s="1"/>
  <c r="G45" i="7"/>
  <c r="H45" i="7" s="1"/>
  <c r="G46" i="7"/>
  <c r="H46" i="7" s="1"/>
  <c r="G47" i="7"/>
  <c r="H47" i="7" s="1"/>
  <c r="G39" i="7"/>
  <c r="H39" i="7" s="1"/>
  <c r="G36" i="7"/>
  <c r="H36" i="7" s="1"/>
  <c r="H37" i="7" s="1"/>
  <c r="G17" i="7"/>
  <c r="H17" i="7" s="1"/>
  <c r="G18" i="7"/>
  <c r="H18" i="7" s="1"/>
  <c r="G19" i="7"/>
  <c r="H19" i="7" s="1"/>
  <c r="G20" i="7"/>
  <c r="H20" i="7" s="1"/>
  <c r="G21" i="7"/>
  <c r="H21" i="7" s="1"/>
  <c r="G22" i="7"/>
  <c r="H22" i="7" s="1"/>
  <c r="G23" i="7"/>
  <c r="H23" i="7" s="1"/>
  <c r="G24" i="7"/>
  <c r="H24" i="7" s="1"/>
  <c r="G25" i="7"/>
  <c r="H25" i="7" s="1"/>
  <c r="G26" i="7"/>
  <c r="H26" i="7" s="1"/>
  <c r="G16" i="7"/>
  <c r="H16" i="7" s="1"/>
  <c r="G13" i="7"/>
  <c r="H13" i="7" s="1"/>
  <c r="H14" i="7" s="1"/>
  <c r="D13" i="9" s="1"/>
  <c r="G10" i="7"/>
  <c r="H28" i="7" l="1"/>
  <c r="H386" i="7"/>
  <c r="H579" i="7" s="1"/>
  <c r="D16" i="9" s="1"/>
  <c r="D14" i="9"/>
  <c r="H156" i="7"/>
  <c r="H123" i="7"/>
  <c r="H89" i="7"/>
  <c r="H68" i="7"/>
  <c r="H56" i="7"/>
  <c r="H49" i="7"/>
  <c r="H101" i="7"/>
  <c r="H59" i="7"/>
  <c r="H77" i="7"/>
  <c r="H93" i="7"/>
  <c r="H135" i="7"/>
  <c r="C22" i="66" l="1"/>
  <c r="C25" i="66" s="1"/>
  <c r="C20" i="66"/>
  <c r="C12" i="66"/>
  <c r="C8" i="66"/>
  <c r="B3" i="8" l="1"/>
  <c r="B2" i="8"/>
  <c r="B1" i="8"/>
  <c r="B3" i="9"/>
  <c r="B1" i="9"/>
  <c r="B16" i="8"/>
  <c r="B15" i="8"/>
  <c r="B14" i="8"/>
  <c r="B11" i="8"/>
  <c r="B10" i="8"/>
  <c r="A14" i="9"/>
  <c r="A10" i="8"/>
  <c r="A16" i="8" l="1"/>
  <c r="A15" i="8"/>
  <c r="A14" i="8"/>
  <c r="A13" i="8"/>
  <c r="A12" i="8"/>
  <c r="A11" i="8"/>
  <c r="A9" i="8"/>
  <c r="A8" i="8"/>
  <c r="U2" i="8"/>
  <c r="R2" i="8"/>
  <c r="B9" i="8"/>
  <c r="B8" i="8"/>
  <c r="B6" i="9"/>
  <c r="B5" i="9"/>
  <c r="B2" i="9"/>
  <c r="H10" i="7" l="1"/>
  <c r="H175" i="7"/>
  <c r="H237" i="7"/>
  <c r="H11" i="7" l="1"/>
  <c r="H159" i="7"/>
  <c r="H29" i="7" l="1"/>
  <c r="D12" i="9"/>
  <c r="C8" i="8" s="1"/>
  <c r="H291" i="7"/>
  <c r="C14" i="8"/>
  <c r="C10" i="8"/>
  <c r="C12" i="8"/>
  <c r="C16" i="8"/>
  <c r="C13" i="8"/>
  <c r="C15" i="8"/>
  <c r="I10" i="8" l="1"/>
  <c r="J10" i="8" s="1"/>
  <c r="G10" i="8"/>
  <c r="W14" i="8"/>
  <c r="X14" i="8" s="1"/>
  <c r="U14" i="8"/>
  <c r="V14" i="8" s="1"/>
  <c r="Q14" i="8"/>
  <c r="R14" i="8" s="1"/>
  <c r="O14" i="8"/>
  <c r="M14" i="8"/>
  <c r="N14" i="8" s="1"/>
  <c r="K14" i="8"/>
  <c r="L14" i="8" s="1"/>
  <c r="S14" i="8"/>
  <c r="T14" i="8" s="1"/>
  <c r="Q16" i="8"/>
  <c r="S16" i="8"/>
  <c r="O16" i="8"/>
  <c r="P16" i="8" s="1"/>
  <c r="U16" i="8"/>
  <c r="V16" i="8" s="1"/>
  <c r="Q12" i="8"/>
  <c r="R12" i="8" s="1"/>
  <c r="K12" i="8"/>
  <c r="L12" i="8" s="1"/>
  <c r="I12" i="8"/>
  <c r="J12" i="8" s="1"/>
  <c r="U12" i="8"/>
  <c r="V12" i="8" s="1"/>
  <c r="S12" i="8"/>
  <c r="T12" i="8" s="1"/>
  <c r="O12" i="8"/>
  <c r="P12" i="8" s="1"/>
  <c r="G12" i="8"/>
  <c r="H12" i="8" s="1"/>
  <c r="E12" i="8"/>
  <c r="F12" i="8" s="1"/>
  <c r="M12" i="8"/>
  <c r="N12" i="8" s="1"/>
  <c r="W8" i="8"/>
  <c r="X8" i="8" s="1"/>
  <c r="O8" i="8"/>
  <c r="P8" i="8" s="1"/>
  <c r="U8" i="8"/>
  <c r="S8" i="8"/>
  <c r="M8" i="8"/>
  <c r="K8" i="8"/>
  <c r="L8" i="8" s="1"/>
  <c r="I8" i="8"/>
  <c r="J8" i="8" s="1"/>
  <c r="G8" i="8"/>
  <c r="H8" i="8" s="1"/>
  <c r="E8" i="8"/>
  <c r="F8" i="8" s="1"/>
  <c r="Q8" i="8"/>
  <c r="R8" i="8" s="1"/>
  <c r="W13" i="8"/>
  <c r="X13" i="8" s="1"/>
  <c r="U13" i="8"/>
  <c r="V13" i="8" s="1"/>
  <c r="O13" i="8"/>
  <c r="P13" i="8" s="1"/>
  <c r="S13" i="8"/>
  <c r="T13" i="8" s="1"/>
  <c r="M13" i="8"/>
  <c r="N13" i="8" s="1"/>
  <c r="K13" i="8"/>
  <c r="L13" i="8" s="1"/>
  <c r="I13" i="8"/>
  <c r="J13" i="8" s="1"/>
  <c r="Q13" i="8"/>
  <c r="R13" i="8" s="1"/>
  <c r="H972" i="7"/>
  <c r="D15" i="9"/>
  <c r="C11" i="8" s="1"/>
  <c r="S15" i="8"/>
  <c r="T15" i="8" s="1"/>
  <c r="Q15" i="8"/>
  <c r="R15" i="8" s="1"/>
  <c r="V8" i="8"/>
  <c r="T8" i="8"/>
  <c r="N8" i="8"/>
  <c r="H10" i="8"/>
  <c r="E10" i="8"/>
  <c r="F10" i="8" s="1"/>
  <c r="T16" i="8"/>
  <c r="R16" i="8"/>
  <c r="C9" i="8"/>
  <c r="W9" i="8" s="1"/>
  <c r="X9" i="8" s="1"/>
  <c r="A973" i="7"/>
  <c r="I11" i="8" l="1"/>
  <c r="J11" i="8" s="1"/>
  <c r="M11" i="8"/>
  <c r="N11" i="8" s="1"/>
  <c r="K11" i="8"/>
  <c r="L11" i="8" s="1"/>
  <c r="W11" i="8"/>
  <c r="X11" i="8" s="1"/>
  <c r="G11" i="8"/>
  <c r="H11" i="8" s="1"/>
  <c r="Q11" i="8"/>
  <c r="R11" i="8" s="1"/>
  <c r="S11" i="8"/>
  <c r="T11" i="8" s="1"/>
  <c r="O11" i="8"/>
  <c r="P11" i="8" s="1"/>
  <c r="U11" i="8"/>
  <c r="V11" i="8" s="1"/>
  <c r="A22" i="9"/>
  <c r="P14" i="8"/>
  <c r="D21" i="9"/>
  <c r="D5" i="9" s="1"/>
  <c r="C17" i="8"/>
  <c r="W17" i="8"/>
  <c r="E17" i="8"/>
  <c r="G17" i="8" l="1"/>
  <c r="I17" i="8"/>
  <c r="J17" i="8" s="1"/>
  <c r="O17" i="8"/>
  <c r="P17" i="8" s="1"/>
  <c r="M17" i="8"/>
  <c r="N17" i="8" s="1"/>
  <c r="C20" i="9"/>
  <c r="C15" i="9"/>
  <c r="C17" i="9"/>
  <c r="C12" i="9"/>
  <c r="C13" i="9"/>
  <c r="C16" i="9"/>
  <c r="C19" i="9"/>
  <c r="C18" i="9"/>
  <c r="C14" i="9"/>
  <c r="D13" i="8"/>
  <c r="D9" i="8"/>
  <c r="U17" i="8"/>
  <c r="V17" i="8" s="1"/>
  <c r="D15" i="8"/>
  <c r="D11" i="8"/>
  <c r="D16" i="8"/>
  <c r="D8" i="8"/>
  <c r="D12" i="8"/>
  <c r="D14" i="8"/>
  <c r="F17" i="8"/>
  <c r="D10" i="8"/>
  <c r="X17" i="8"/>
  <c r="H17" i="8"/>
  <c r="Q17" i="8"/>
  <c r="R17" i="8" s="1"/>
  <c r="S17" i="8"/>
  <c r="T17" i="8" s="1"/>
  <c r="K17" i="8"/>
  <c r="L17" i="8" s="1"/>
  <c r="C21" i="9" l="1"/>
  <c r="D17" i="8"/>
</calcChain>
</file>

<file path=xl/comments1.xml><?xml version="1.0" encoding="utf-8"?>
<comments xmlns="http://schemas.openxmlformats.org/spreadsheetml/2006/main">
  <authors>
    <author>Joshua Testoni</author>
  </authors>
  <commentList>
    <comment ref="L7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Quantidade de fundações</t>
        </r>
      </text>
    </comment>
    <comment ref="M7" authorId="0" shapeId="0">
      <text>
        <r>
          <rPr>
            <b/>
            <sz val="9"/>
            <color indexed="81"/>
            <rFont val="Tahoma"/>
            <family val="2"/>
          </rPr>
          <t>Joshua Testoni:
+20cm PARA FORMAS (CADA LADO)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+20cm PARA FORMAS (CADA LADO)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SOMADO LASTRO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Quantidade de fundações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>Joshua Testoni:
+20cm PARA FORMAS (CADA LADO)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+20cm PARA FORMAS (CADA LADO)</t>
        </r>
      </text>
    </comment>
    <comment ref="P10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SOMADO LASTRO</t>
        </r>
      </text>
    </comment>
  </commentList>
</comments>
</file>

<file path=xl/comments2.xml><?xml version="1.0" encoding="utf-8"?>
<comments xmlns="http://schemas.openxmlformats.org/spreadsheetml/2006/main">
  <authors>
    <author>Joshua Testoni</author>
  </authors>
  <commentList>
    <comment ref="L11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Quantidade de fundações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>Joshua Testoni:
+20cm PARA FORMAS (CADA LADO)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+20cm PARA FORMAS (CADA LADO)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SOMADO LASTRO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Quantidade de fundações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Joshua Testoni:
+20cm PARA FORMAS (CADA LADO)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+20cm PARA FORMAS (CADA LADO)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Joshua Testoni:</t>
        </r>
        <r>
          <rPr>
            <sz val="9"/>
            <color indexed="81"/>
            <rFont val="Tahoma"/>
            <family val="2"/>
          </rPr>
          <t xml:space="preserve">
SOMADO LASTRO</t>
        </r>
      </text>
    </comment>
  </commentList>
</comments>
</file>

<file path=xl/sharedStrings.xml><?xml version="1.0" encoding="utf-8"?>
<sst xmlns="http://schemas.openxmlformats.org/spreadsheetml/2006/main" count="23649" uniqueCount="5563">
  <si>
    <t>ITEM</t>
  </si>
  <si>
    <t>DESCRIÇÃO</t>
  </si>
  <si>
    <t>OBRA</t>
  </si>
  <si>
    <t>%</t>
  </si>
  <si>
    <t>CÓDIGO</t>
  </si>
  <si>
    <t>UND</t>
  </si>
  <si>
    <t>QNT</t>
  </si>
  <si>
    <t>P. UNT</t>
  </si>
  <si>
    <t>P. TOTAL</t>
  </si>
  <si>
    <t>M²</t>
  </si>
  <si>
    <t>M³</t>
  </si>
  <si>
    <t>PISOS</t>
  </si>
  <si>
    <t>PINTURA</t>
  </si>
  <si>
    <t>TOTAL DO ITEM</t>
  </si>
  <si>
    <t>1.0</t>
  </si>
  <si>
    <t>1.1</t>
  </si>
  <si>
    <t>2.0</t>
  </si>
  <si>
    <t>2.1</t>
  </si>
  <si>
    <t>2.2</t>
  </si>
  <si>
    <t>3.0</t>
  </si>
  <si>
    <t>3.1</t>
  </si>
  <si>
    <t>3.2</t>
  </si>
  <si>
    <t>3.3</t>
  </si>
  <si>
    <t>3.4</t>
  </si>
  <si>
    <t>4.0</t>
  </si>
  <si>
    <t>4.1</t>
  </si>
  <si>
    <t>4.2</t>
  </si>
  <si>
    <t>4.3</t>
  </si>
  <si>
    <t>5.0</t>
  </si>
  <si>
    <t>5.1</t>
  </si>
  <si>
    <t>5.2</t>
  </si>
  <si>
    <t>6.0</t>
  </si>
  <si>
    <t>6.1</t>
  </si>
  <si>
    <t>BDI:</t>
  </si>
  <si>
    <t>INCC:</t>
  </si>
  <si>
    <t>PREÇO GLOBAL</t>
  </si>
  <si>
    <t>PLANILHA ORÇAMENTÁRIA</t>
  </si>
  <si>
    <t>VALOR</t>
  </si>
  <si>
    <t>MÊS 01</t>
  </si>
  <si>
    <t>VALOR (R$)</t>
  </si>
  <si>
    <t>MÊS 02</t>
  </si>
  <si>
    <t>MÊS 03</t>
  </si>
  <si>
    <t>MÊS 04</t>
  </si>
  <si>
    <t>TOTAL</t>
  </si>
  <si>
    <t>Município</t>
  </si>
  <si>
    <t>Endereço</t>
  </si>
  <si>
    <t>Referência:</t>
  </si>
  <si>
    <t>Referência</t>
  </si>
  <si>
    <t>Custo por m²:</t>
  </si>
  <si>
    <t>PLANILHA RESUMO</t>
  </si>
  <si>
    <t>P. BASE</t>
  </si>
  <si>
    <t>URBANIZAÇÃO E PAISAGISMO</t>
  </si>
  <si>
    <t>UN</t>
  </si>
  <si>
    <t>SERVIÇOS PRELIMINARES</t>
  </si>
  <si>
    <t>Item</t>
  </si>
  <si>
    <t>Serviços</t>
  </si>
  <si>
    <t>Memória Cálculo</t>
  </si>
  <si>
    <t>Un</t>
  </si>
  <si>
    <t>Quant.</t>
  </si>
  <si>
    <t>ADMINISTRAÇÃO DE OBRA</t>
  </si>
  <si>
    <t>Und</t>
  </si>
  <si>
    <t>m2</t>
  </si>
  <si>
    <t>COBERTURA</t>
  </si>
  <si>
    <t>m</t>
  </si>
  <si>
    <t>ESQUADRIAS</t>
  </si>
  <si>
    <t>SERVIÇOS COMPLEMENTARES</t>
  </si>
  <si>
    <t>5.3</t>
  </si>
  <si>
    <t>5.4</t>
  </si>
  <si>
    <t>5.5</t>
  </si>
  <si>
    <t>5.6</t>
  </si>
  <si>
    <t>FORROS E DIVISÓRIAS</t>
  </si>
  <si>
    <t>KG</t>
  </si>
  <si>
    <t>ELEMENTOS DE VEDAÇÃO</t>
  </si>
  <si>
    <t>7.1</t>
  </si>
  <si>
    <t>7.2</t>
  </si>
  <si>
    <t>M</t>
  </si>
  <si>
    <t>8.1</t>
  </si>
  <si>
    <t>m²</t>
  </si>
  <si>
    <t>9.1</t>
  </si>
  <si>
    <t>Chapisco</t>
  </si>
  <si>
    <t>9.2</t>
  </si>
  <si>
    <t>9.3</t>
  </si>
  <si>
    <t>10.1</t>
  </si>
  <si>
    <t>11.1</t>
  </si>
  <si>
    <t>12.1</t>
  </si>
  <si>
    <t>12.2</t>
  </si>
  <si>
    <t>6.2</t>
  </si>
  <si>
    <t>6.3</t>
  </si>
  <si>
    <t>7.0</t>
  </si>
  <si>
    <t>m3</t>
  </si>
  <si>
    <t>Reboco</t>
  </si>
  <si>
    <t>9.4</t>
  </si>
  <si>
    <t>9.5</t>
  </si>
  <si>
    <t>10.2</t>
  </si>
  <si>
    <t>11.2</t>
  </si>
  <si>
    <t>ACESSIBILIDADE</t>
  </si>
  <si>
    <t>8.0</t>
  </si>
  <si>
    <t>9.0</t>
  </si>
  <si>
    <t>74106/001</t>
  </si>
  <si>
    <t>RADIER</t>
  </si>
  <si>
    <t>CONTRAPISO ARMADO</t>
  </si>
  <si>
    <t>74005/002</t>
  </si>
  <si>
    <t>QUANT.</t>
  </si>
  <si>
    <t>M2</t>
  </si>
  <si>
    <t>M3</t>
  </si>
  <si>
    <t>INSTALAÇÕES ELÉTRICAS E SPDA</t>
  </si>
  <si>
    <t>INSTALAÇÕES DE GÁS</t>
  </si>
  <si>
    <t>TOTAL INSTALAÇÕES HIDROSSANITARIAS</t>
  </si>
  <si>
    <t>INSTALAÇÕES SANITARIAS</t>
  </si>
  <si>
    <t>VENTILAÇÃO ESGOTO</t>
  </si>
  <si>
    <t>ACESSORIOS E LOUÇAS PARA BANHEIROS PCDs</t>
  </si>
  <si>
    <t>PREVENÇÃO E COMBATE A INCENDIO</t>
  </si>
  <si>
    <t>SINALIZAÇÃO - SAIDA DE EMERGENCIA</t>
  </si>
  <si>
    <t>LUMINARIA DE EMERGENCIA</t>
  </si>
  <si>
    <t>TOTAL PREVENÇÃO E COMBATE A INCÊNDIO</t>
  </si>
  <si>
    <t>MÊS 05</t>
  </si>
  <si>
    <t>MÊS 06</t>
  </si>
  <si>
    <t>AC - Administração Central</t>
  </si>
  <si>
    <t>4,00% de PV</t>
  </si>
  <si>
    <t>DF - Custos Financeiros</t>
  </si>
  <si>
    <t>CF do (PV-Lucro Operacional)</t>
  </si>
  <si>
    <t>C - Riscos</t>
  </si>
  <si>
    <t>1,25% de PV</t>
  </si>
  <si>
    <t>S - Seguros e Garantias Contratuais</t>
  </si>
  <si>
    <t>2,50% a.a. sobre 5,00% do PV</t>
  </si>
  <si>
    <t xml:space="preserve">G - Garantias </t>
  </si>
  <si>
    <t>Sub-total</t>
  </si>
  <si>
    <t>E - Lucro Operacional</t>
  </si>
  <si>
    <t>7,50% de PV</t>
  </si>
  <si>
    <t>F - PIS</t>
  </si>
  <si>
    <t>0,65% de PV</t>
  </si>
  <si>
    <t>G - COFINS</t>
  </si>
  <si>
    <t>3,00% de PV</t>
  </si>
  <si>
    <t>H - ISSQN</t>
  </si>
  <si>
    <t>Contribuição Previdenciária - Lei N° 13.161/15</t>
  </si>
  <si>
    <t>Custo Direto - CD</t>
  </si>
  <si>
    <t>Preço de Venda - PV</t>
  </si>
  <si>
    <t>Legenda:</t>
  </si>
  <si>
    <t>CD = Custo Direto</t>
  </si>
  <si>
    <t>Selic Fev/2014 = 10,52%</t>
  </si>
  <si>
    <t>IA = Inflação Acumulada (período de 12 meses - IPCA) = 4,84%</t>
  </si>
  <si>
    <t>CF = ((1 + Selic)¹/¹² x ((1+IA)¹/¹² -1)</t>
  </si>
  <si>
    <t>Seguros e Garantias (2,5% a.a. sobre 5% do PV) - Prazo médio de 1 ano</t>
  </si>
  <si>
    <t>Lucro Operacional conforme Portaria SINFRA n°. 343/05 de 07 de junho de 2005.</t>
  </si>
  <si>
    <t>Localidade / alíquota ISSQN</t>
  </si>
  <si>
    <t>Para Mão de Obra</t>
  </si>
  <si>
    <t>40% sobre alíquota</t>
  </si>
  <si>
    <t>PERÍODO:</t>
  </si>
  <si>
    <t>Período:</t>
  </si>
  <si>
    <t>SDC01022</t>
  </si>
  <si>
    <t>ESCAVAÇÃO (M3)</t>
  </si>
  <si>
    <t>APILOAMENTO (M2)</t>
  </si>
  <si>
    <t>CJ</t>
  </si>
  <si>
    <t>m³</t>
  </si>
  <si>
    <t>INSTALAÇÕES ELÉTRICAS - BAIXA TENSÃO</t>
  </si>
  <si>
    <t>73798/003</t>
  </si>
  <si>
    <t>73798/001</t>
  </si>
  <si>
    <t>6.4</t>
  </si>
  <si>
    <t>6.5</t>
  </si>
  <si>
    <t>6.7</t>
  </si>
  <si>
    <t>73795/013</t>
  </si>
  <si>
    <t>73796/005</t>
  </si>
  <si>
    <t>CISTERNA E CAIXAS D'ÁGUA</t>
  </si>
  <si>
    <t>ÁGUA FRIA - RAMAL DE DISTRIBUIÇÃO ESCOLAR</t>
  </si>
  <si>
    <t>MÊS 07</t>
  </si>
  <si>
    <t>MÊS 08</t>
  </si>
  <si>
    <t>MÊS 09</t>
  </si>
  <si>
    <t>MÊS 10</t>
  </si>
  <si>
    <t>300 dias</t>
  </si>
  <si>
    <t>CRONOGRAMA FÍSICO FINANCEIRO</t>
  </si>
  <si>
    <t>300 Dias</t>
  </si>
  <si>
    <t>BDI Final com impostos</t>
  </si>
  <si>
    <t xml:space="preserve">ESCALA SALARIAL DE MÃO-DE-OBRA </t>
  </si>
  <si>
    <t>COM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</si>
  <si>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</si>
  <si>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</si>
  <si>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</si>
  <si>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</si>
  <si>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</si>
  <si>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</si>
  <si>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</si>
  <si>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</si>
  <si>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</si>
  <si>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</si>
  <si>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</si>
  <si>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</si>
  <si>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</si>
  <si>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</si>
  <si>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Salario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</si>
  <si>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</si>
  <si>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</si>
  <si>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</si>
  <si>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</si>
  <si>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</si>
  <si>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</si>
  <si>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</si>
  <si>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</si>
  <si>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</si>
  <si>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</si>
  <si>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</si>
  <si>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Não incide</t>
  </si>
  <si>
    <t>B2</t>
  </si>
  <si>
    <t>Feriados</t>
  </si>
  <si>
    <t>B3</t>
  </si>
  <si>
    <t>Auxilio - Enfermidade</t>
  </si>
  <si>
    <t>B4</t>
  </si>
  <si>
    <t>13º Salario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</si>
  <si>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</si>
  <si>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</si>
  <si>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</si>
  <si>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</si>
  <si>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</si>
  <si>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</si>
  <si>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</si>
  <si>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</si>
  <si>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</si>
  <si>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</si>
  <si>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</si>
  <si>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</si>
  <si>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</si>
  <si>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</si>
  <si>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</si>
  <si>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</si>
  <si>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</si>
  <si>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</si>
  <si>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</si>
  <si>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</si>
  <si>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</si>
  <si>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</si>
  <si>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</si>
  <si>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</si>
  <si>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</si>
  <si>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</si>
  <si>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</si>
  <si>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</si>
  <si>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</si>
  <si>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</si>
  <si>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</si>
  <si>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</si>
  <si>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OBRA:</t>
  </si>
  <si>
    <t>Município:</t>
  </si>
  <si>
    <t>Endereço:</t>
  </si>
  <si>
    <t>ESCAVACAO MECANICA DE VALA EM MATERIAL DE 2A. CATEGORIA ATE 2 M DE PROFUNDIDADE COM UTILIZACAO DE ESCAVADEIRA HIDRAULICA</t>
  </si>
  <si>
    <t>ESCAVAÇÃO MANUAL DE VALAS. AF_03/2016</t>
  </si>
  <si>
    <t>PREPARO DE FUNDO DE VALA COM LARGURA MENOR QUE 1,5 M, EM LOCAL COM NÍVEL BAIXO DE INTERFERÊNCIA. AF_06/2016</t>
  </si>
  <si>
    <t>LASTRO DE CONCRETO, E = 5 CM, PREPARO MECÂNICO, INCLUSOS LANÇAMENTO E ADENSAMENTO. AF_07_2016</t>
  </si>
  <si>
    <t>REATERRO DE VALA COM COMPACTAÇÃO MANUAL</t>
  </si>
  <si>
    <t>TRANSPORTE COM CAMINHÃO BASCULANTE 6 M3 EM RODOVIA PAVIMENTADA ( PARA DISTÂNCIAS SUPERIORES A 4 KM)</t>
  </si>
  <si>
    <t>IMPERMEABILIZACAO DE ESTRUTURAS ENTERRADAS, COM TINTA ASFALTICA, DUAS DEMAOS.</t>
  </si>
  <si>
    <t>FORNECIMENTO/INSTALACAO LONA PLASTICA PRETA, PARA IMPERMEABILIZACAO, ESPESSURA 150 MICRAS.</t>
  </si>
  <si>
    <t>FORMA TABUA PARA CONCRETO EM FUNDACAO, C/ REAPROVEITAMENTO 2X.</t>
  </si>
  <si>
    <t>LANÇAMENTO COM USO DE BOMBA, ADENSAMENTO E ACABAMENTO DE CONCRETO EM ESTRUTURAS. AF_12/2015</t>
  </si>
  <si>
    <t>CONCRETO USINADO BOMBEAVEL, CLASSE DE RESISTENCIA C25, COM BRITA 0 E 1, SLUMP = 100 +/- 20 MM, EXCLUI SERVICO DE BOMBEAMENTO (NBR 8953)</t>
  </si>
  <si>
    <t>CRIAÇÃO DE PLATÔ PARA INÍCIO DA EXECUÇÃO DOS ELEMENTOS DE CONCRETO</t>
  </si>
  <si>
    <t>INFRA-ESTRUTURA</t>
  </si>
  <si>
    <t>ITENS GERAIS</t>
  </si>
  <si>
    <t>VIGAS BALDRAMES</t>
  </si>
  <si>
    <t>SUPER-ESTRUTURA</t>
  </si>
  <si>
    <t>PILARES</t>
  </si>
  <si>
    <t>VIGAS</t>
  </si>
  <si>
    <t>ESTRUTURA METÁLICA (ESTRUTURA METÁLICA + PLACA BASE)</t>
  </si>
  <si>
    <t>PINTURA P/ EST. METÁLICA (PINTURA COM ESMALTE SINTÉTICO)</t>
  </si>
  <si>
    <t>AÇO CA50 - 16mm (CHUMBADORES DA PLACA BASE)</t>
  </si>
  <si>
    <t>LAJES</t>
  </si>
  <si>
    <t>FORNECIMENTO DE ESTRUTURA METÁLICA PARA COBERTURA, COM UTILIZAÇÃO DE PERFIS EM AÇO ASTM A36</t>
  </si>
  <si>
    <t>SDC01017</t>
  </si>
  <si>
    <t>MONTAGEM DE ESTRUTURA METÁLICA</t>
  </si>
  <si>
    <t>SDC01018</t>
  </si>
  <si>
    <t xml:space="preserve">FORNECIMENTO DE ATERRO (ESTIMADO VOLUME REFERENTE A CAMADA DE 0,40m EM TODA ÁREA DO REFEITÓRIO - COM SAIA DE PLATÔ DE 45°) </t>
  </si>
  <si>
    <t xml:space="preserve">ESPALHAMENTO DO MATERIAL (ÁREA DO REFEITÓRIO)  - VER SE HÁ NECESSIDADE DE SER CONTADO DUAS VEZES, POIS É NECESSÁRIO FAZER O ESPALHAMENTO EM DUAS CAMADAS DE 0,20m </t>
  </si>
  <si>
    <t xml:space="preserve">COMPACTAÇÃO DO MATERIAL (SUGIRO UTILIZAR ROLO COMPACTADOR) </t>
  </si>
  <si>
    <t>NÃO CONSIDERAR ESTA TABELA  NA PLANILHA QUANTITATIVA !!!</t>
  </si>
  <si>
    <t xml:space="preserve">ESCAVAÇÃO  DAS VIGAS BALDRAMES (CONSIDERADO VOLUME DE CONCRETO DAS BALDRAMES, DIVIDIDO PELA LARGURA DAS VIGAS (15cm) E MULTIPLICADO PELA LARGURA DA VALA (55cm) - 20cm PARA CADA LADO </t>
  </si>
  <si>
    <t>LADO 1</t>
  </si>
  <si>
    <t>LADO 2</t>
  </si>
  <si>
    <t>AREA</t>
  </si>
  <si>
    <t>H PILAR</t>
  </si>
  <si>
    <t xml:space="preserve">APILOAMENTO DE FUNDO DAS SAPATAS - CONSIDERADO ÁREA ESCAVADA </t>
  </si>
  <si>
    <t xml:space="preserve">APILOAMENTO DE FUNDO DAS VIGAS BALDRAMES - CONSIDERADO ÁREA ESCAVADA - (VOLUME DE ESCAVAÇÃO DIVIDIDO PELA ALTURA DAS VIGAS) </t>
  </si>
  <si>
    <t xml:space="preserve">LASTRO DE CONCRETO - VIGAS BALDRAMES (ÁREA DE APILOAMENTO * 5cm) </t>
  </si>
  <si>
    <t xml:space="preserve">LASTRO COM PREPARO DE FUNDO COM CAMADA DE BRITA P/ CONTRAPISO ARMADO - (ÁREA INTERNA * 5cm) </t>
  </si>
  <si>
    <t xml:space="preserve">IMPERMEABILIZAÇÃO - FACE LATERAL E TOPO DAS VIGAS BALDRAMES - IGUAL ÁREA DE FORMAS </t>
  </si>
  <si>
    <t>LONA PLÁSTICA PRETA PARA IMPERMEABILIZAÇÃO DE CONTRAPISO ARMADO</t>
  </si>
  <si>
    <t>VOLUME DE CONCRETO FCK=25MPA (AREA INTERNA * 7cm)</t>
  </si>
  <si>
    <t>LANÇAMENTO DE CONCRETO</t>
  </si>
  <si>
    <t>FORMA PARA FUNDAÇÃO</t>
  </si>
  <si>
    <t>VOLUME DE CONCRETO FCK=25MPA</t>
  </si>
  <si>
    <t>AÇO CA60 - 5mm</t>
  </si>
  <si>
    <t>AÇO CA50 - 10mm</t>
  </si>
  <si>
    <t>AÇO CA50 - 12,5mm</t>
  </si>
  <si>
    <t>FORMA</t>
  </si>
  <si>
    <t>AÇO CA50 - 6,3mm</t>
  </si>
  <si>
    <t>AÇO CA50 - 8mm</t>
  </si>
  <si>
    <t>AÇO CA50 - 16mm</t>
  </si>
  <si>
    <t xml:space="preserve"> ESTRUTURA DE COBERTURA</t>
  </si>
  <si>
    <t>TOTAL REFEITÓRIO</t>
  </si>
  <si>
    <t>TOTAL PRELIMINARES</t>
  </si>
  <si>
    <t>PRELIMINARES</t>
  </si>
  <si>
    <t>AQUISIÇÃO DE MATERIAL PARA ATERRO</t>
  </si>
  <si>
    <t>SDC01021</t>
  </si>
  <si>
    <t>(COMPOSIÇÃO REPRESENTATIVA) DO SERVIÇO DE ALVENARIA DE VEDAÇÃO DE BLOCOS VAZADOS DE CERÂMICA DE 9X19X19CM (ESPESSURA 9CM), PARA EDIFICAÇÃO HABITACIONAL UNIFAMILIAR (CASA) E EDIFICAÇÃO PÚBLICA PADRÃO. AF_11/2014</t>
  </si>
  <si>
    <t>REGISTRO DE GAVETA BRUTO, LATÃO, ROSCÁVEL, 2 1/2, INSTALADO EM RESERVAÇÃO DE ÁGUA DE EDIFICAÇÃO QUE POSSUA RESERVATÓRIO DE FIBRA/FIBROCIMENTO  FORNECIMENTO E INSTALAÇÃO. AF_06/2016</t>
  </si>
  <si>
    <t>74051/001</t>
  </si>
  <si>
    <t>74104/001</t>
  </si>
  <si>
    <t>CAIXA DE INSPEÇÃO 80X80X80CM EM ALVENARIA - EXECUÇÃO</t>
  </si>
  <si>
    <t>TOMADA BAIXA DE EMBUTIR (1 MÓDULO), 2P+T 10 A, INCLUINDO SUPORTE E PLACA - FORNECIMENTO E INSTALAÇÃO. AF_12/2015</t>
  </si>
  <si>
    <t>INTERRUPTOR SIMPLES (1 MÓDULO), 10A/250V, INCLUINDO SUPORTE E PLACA - FORNECIMENTO E INSTALAÇÃO. AF_12/2015</t>
  </si>
  <si>
    <t>DISJUNTOR MONOPOLAR TIPO DIN, CORRENTE NOMINAL DE 10A - FORNECIMENTO E INSTALAÇÃO. AF_04/2016</t>
  </si>
  <si>
    <t>DISJUNTOR BIPOLAR TIPO DIN, CORRENTE NOMINAL DE 10A - FORNECIMENTO E INSTALAÇÃO. AF_04/2016</t>
  </si>
  <si>
    <t>DISJUNTOR MONOPOLAR TIPO DIN, CORRENTE NOMINAL DE 16A - FORNECIMENTO E INSTALAÇÃO. AF_04/2016</t>
  </si>
  <si>
    <t>DUTO ESPIRAL FLEXIVEL SINGELO PEAD D=75MM(3") REVESTIDO COM PVC COM FIO GUIA DE ACO GALVANIZADO, LANCADO DIRETO NO SOLO, INCL CONEXOES</t>
  </si>
  <si>
    <t>DUTO ESPIRAL FLEXIVEL SINGELO PEAD D=50MM(2") REVESTIDO COM PVC COM FIO GUIA DE ACO GALVANIZADO, LANCADO DIRETO NO SOLO, INCL CONEXOES</t>
  </si>
  <si>
    <t>CAIXA DE PASSAGEM 60X60X70 FUNDO BRITA COM TAMPA</t>
  </si>
  <si>
    <t>CAIXA DE PASSAGEM 40X40X50 FUNDO BRITA COM TAMPA</t>
  </si>
  <si>
    <t>TERMINAL OU CONECTOR DE PRESSAO - PARA CABO 35MM2 - FORNECIMENTO E INSTALACAO</t>
  </si>
  <si>
    <t>TERMINAL OU CONECTOR DE PRESSAO - PARA CABO 50MM2 - FORNECIMENTO E INSTALACAO</t>
  </si>
  <si>
    <t>TERMINAL AEREO EM ACO GALVANIZADO COM BASE DE FIXACAO H = 30CM</t>
  </si>
  <si>
    <t>CABO DE COBRE NU 35MM2 - FORNECIMENTO E INSTALACAO</t>
  </si>
  <si>
    <t>CABO DE COBRE NU 50MM2 - FORNECIMENTO E INSTALACAO</t>
  </si>
  <si>
    <t>ELETRODUTO RÍGIDO ROSCÁVEL, PVC, DN 32 MM (1"), PARA CIRCUITOS TERMINAIS, INSTALADO EM PAREDE - FORNECIMENTO E INSTALAÇÃO. AF_12/2015</t>
  </si>
  <si>
    <t>CAIXA RETANGULAR 4" X 2" MÉDIA (1,30 M DO PISO), PVC, INSTALADA EM PAREDE - FORNECIMENTO E INSTALAÇÃO. AF_12/2015</t>
  </si>
  <si>
    <t>VÁLVULA DE RETENÇÃO HORIZONTAL Ø 65MM (2.1/2") - FORNECIMENTO E INSTALAÇÃO</t>
  </si>
  <si>
    <t>VÁLVULA DE PÉ COM CRIVO Ø 65MM (2.1/2") - FORNECIMENTO E INSTALAÇÃO</t>
  </si>
  <si>
    <t>ELETRODUTO FLEXÍVEL CORRUGADO, PVC, DN 32 MM (1"), PARA CIRCUITOS TERMINAIS, INSTALADO EM PAREDE - FORNECIMENTO E INSTALAÇÃO. AF_12/2015</t>
  </si>
  <si>
    <t>(COMPOSIÇÃO REPRESENTATIVA) DO SERVIÇO DE EMBOÇO/MASSA ÚNICA, APLICADO MANUALMENTE, TRAÇO 1:2:8, EM BETONEIRA DE 400L, PAREDES INTERNAS, COM EXECUÇÃO DE TALISCAS, EDIFICAÇÃO HABITACIONAL UNIFAMILIAR (CASAS) E EDIFICAÇÃO PÚBLICA PADRÃO. AF_12/2014</t>
  </si>
  <si>
    <t>SDC01025</t>
  </si>
  <si>
    <t>REVESTIMENTO CERÂMICO PARA PISO COM PLACAS TIPO PORCELANATO DE DIMENSÕES 60X60 CM APLICADA EM AMBIENTES DE ÁREA MAIOR QUE 10 M². AF_06/2014</t>
  </si>
  <si>
    <t>APLICAÇÃO MANUAL DE PINTURA COM TINTA LÁTEX PVA EM PAREDES, DUAS DEMÃOS. AF_06/2014</t>
  </si>
  <si>
    <t>APLICAÇÃO MANUAL DE PINTURA COM TINTA LÁTEX ACRÍLICA EM PAREDES, DUAS DEMÃOS. AF_06/2014</t>
  </si>
  <si>
    <t>LIMPEZA FINAL DA OBRA</t>
  </si>
  <si>
    <t>PORTA EM ALUMÍNIO DE ABRIR TIPO VENEZIANA COM GUARNIÇÃO, FIXAÇÃO COM PARAFUSOS - FORNECIMENTO E INSTALAÇÃO. AF_08/2015</t>
  </si>
  <si>
    <t>SDC04005</t>
  </si>
  <si>
    <t>FORNECIMENTO E INSTALAÇÃO DE PISO PODOTÁTIL, EM BORRACHA SINTÉTICA, 250X250MM, DIRECIONAL/ALERTA</t>
  </si>
  <si>
    <t>SDC04003</t>
  </si>
  <si>
    <t>SDC01031</t>
  </si>
  <si>
    <t>FORNECIMENTO E INSTALAÇÃO DE PORTA METÁLICA, 90X2,10M, COM VISOR, CHAPA LISA Nº18, INCLUSIVE FECHADURA TIPO TRINCO ROLETE E GUARNIÇÕES - CONFORME ESPECIFICAÇÃO TÉCNICA SEDUC</t>
  </si>
  <si>
    <t>SDC01027</t>
  </si>
  <si>
    <t>FORNECIMENTO E INSTALAÇÃO DE PORTA METÁLICA, 90X2,10M, CHAPA LISA Nº18, INCLUSIVE FECHADURA TIPO TRINCO ROLETE E GUARNIÇÕES - CONFORME ESPECIFICAÇÃO TÉCNICA SEDUC</t>
  </si>
  <si>
    <t>SDC04010</t>
  </si>
  <si>
    <t>FORNECIMENTO E INSTALAÇÃO DE KIT CONTENDO 3 MASTROS P/ BANDEIRA EM TUBO DE AÇO GALVANIZADO 7,00M E ALTURA LIVRE 6,00M</t>
  </si>
  <si>
    <t>SDC04011</t>
  </si>
  <si>
    <t>SDC04012</t>
  </si>
  <si>
    <t>FORNECIMENTO E INSTALAÇÃO DE QUADRO DE VIDRO TEMPERADO 6MM 4X1,1M</t>
  </si>
  <si>
    <t xml:space="preserve">TELA - Q92 </t>
  </si>
  <si>
    <t>SDC04001</t>
  </si>
  <si>
    <t>TOALHEIRO PLASTICO TIPO DISPENSER PARA PAPEL TOALHA INTERFOLHADO</t>
  </si>
  <si>
    <t>SDC02007</t>
  </si>
  <si>
    <t>JUNÇÃO 45° DE PVC BRANCO COM REDUÇÃO, PONTA BOLSA E VIROLA, Ø 100 X 50 MM</t>
  </si>
  <si>
    <t>SDC04002</t>
  </si>
  <si>
    <t>APLICAÇÃO DE FUNDO SELADOR ACRÍLICO EM PAREDES, UMA DEMÃO. AF_06/2014</t>
  </si>
  <si>
    <t>PINTURA ACRILICA DE FAIXAS DE DEMARCACAO EM QUADRA POLIESPORTIVA, 5 CM DE LARGURA</t>
  </si>
  <si>
    <t>PLANTIO DE GRAMA ESMERALDA EM ROLO</t>
  </si>
  <si>
    <t>SDC02019</t>
  </si>
  <si>
    <t>SDC02029</t>
  </si>
  <si>
    <t>SDC02032</t>
  </si>
  <si>
    <t>SDC02004</t>
  </si>
  <si>
    <t>CAIXA SIFONADA DE PVC COM GRELHA BRANCA, 150 X 150 X 50 MM</t>
  </si>
  <si>
    <t>SDC02005</t>
  </si>
  <si>
    <t>SDC02006</t>
  </si>
  <si>
    <t>SDC02008</t>
  </si>
  <si>
    <t>FORNECIMENTO E INSTALAÇÃO DE TERMINAL DE VENTILAÇÃO, SÉRIE NORMAL, DN 50MM</t>
  </si>
  <si>
    <t>SDC04015</t>
  </si>
  <si>
    <t>SDC03004</t>
  </si>
  <si>
    <t>ABRAÇADEIRA TIPO "D" COM CUNHA, DIÂMETRO 1"</t>
  </si>
  <si>
    <t>SDC07001</t>
  </si>
  <si>
    <t>FORNECIMENTO E INSTALAÇÃO DE PLACA DE SINALIZAÇÃO DE EXTINTOR 20X30CM</t>
  </si>
  <si>
    <t>SDC07002</t>
  </si>
  <si>
    <t>FORNECIMENTO E INSTALAÇÃO DE PLACA DE SINALIZAÇÃO INDICATIVA, SAÍDA DE EMERGÊNCIA, SAÍDA LATERAL ESQUERDA/DIREITA/SAÍDA EM FRENTE</t>
  </si>
  <si>
    <t>SDC07003</t>
  </si>
  <si>
    <t>PLACA DE SINALIZACAO DE SEGURANCA CONTRA INCENDIO, FOTOLUMINESCENTE, RETANGULAR, *20 X 40* CM, EM PVC *2* MM ANTI-CHAMAS (SIMBOLOS, CORES E PICTOGRAMAS CONFORME NBR 13434)</t>
  </si>
  <si>
    <t>SDC07004</t>
  </si>
  <si>
    <t>FORNECIMENTO E INSTALAÇÃO DE ACIONADOR MANUAL PARA ALARME, TIPO QUEBRA VIDRO, COM MARTELO</t>
  </si>
  <si>
    <t>SDC07005</t>
  </si>
  <si>
    <t>FORNECIMENTO E INSTALAÇÃO DE SIRENE ELETRÔNICA, 12V, ALARME DE EMERGÊNCIA</t>
  </si>
  <si>
    <t>SDC07006</t>
  </si>
  <si>
    <t>FORNECIMENTO E INSTALAÇÃO DE CENTRAL DE ALARME IPA, 12 LAÇOS, SEM BATERIA</t>
  </si>
  <si>
    <t>SDC07007</t>
  </si>
  <si>
    <t>FORNECIMENTO E INSTALAÇÃO DE BATERIA SELADA PARA CENTRAL DE ALARME, 12V/5A</t>
  </si>
  <si>
    <t>SDC07008</t>
  </si>
  <si>
    <t>PLACA DE SINALIZACAO DE SEGURANCA CONTRA INCENDIO, FOTOLUMINESCENTE, RETANGULAR, *13 X 26* CM, EM PVC *2* MM ANTI-CHAMAS (SIMBOLOS, CORES E PICTOGRAMAS CONFORME NBR 13434)</t>
  </si>
  <si>
    <t>74169/001</t>
  </si>
  <si>
    <t>COTOVELO 90 GRAUS, EM FERRO GALVANIZADO, CONEXÃO ROSQUEADA, DN 65 (2 1/2), INSTALADO EM RESERVAÇÃO DE ÁGUA DE EDIFICAÇÃO QUE POSSUA RESERVATÓRIO DE FIBRA/FIBROCIMENTO  FORNECIMENTO E INSTALAÇÃO. AF_06/2016</t>
  </si>
  <si>
    <t>LUVA, EM FERRO GALVANIZADO, DN 65 (2 1/2"), CONEXÃO ROSQUEADA, INSTALADO EM REDE DE ALIMENTAÇÃO PARA HIDRANTE - FORNECIMENTO E INSTALAÇÃO. AF_12/2015</t>
  </si>
  <si>
    <t>TÊ, EM FERRO GALVANIZADO, CONEXÃO ROSQUEADA, DN 65 (2 1/2"), INSTALADO EM REDE DE ALIMENTAÇÃO PARA HIDRANTE - FORNECIMENTO E INSTALAÇÃO. AF_12/2015</t>
  </si>
  <si>
    <t>SDC03007</t>
  </si>
  <si>
    <t>SDC03001</t>
  </si>
  <si>
    <t>FORNECIMENTO E INSTALAÇÃO DE VENTILADOR DE TETO, 03 PALHETAS</t>
  </si>
  <si>
    <t>TELHAMENTO COM TELHA METÁLICA TERMOACÚSTICA E = 30 MM, COM ATÉ 2 ÁGUAS, INCLUSO IÇAMENTO. AF_06/2016</t>
  </si>
  <si>
    <t>SDC03009</t>
  </si>
  <si>
    <t>SDC03011</t>
  </si>
  <si>
    <t>LUMINARIA DE EMERGENCIA 30 LEDS, POTENCIA 2 W, BATERIA DE LITIO, AUTONOMIA DE 6 CR</t>
  </si>
  <si>
    <t>FORNECIMENTO E INSTALAÇÃO DE PARAFUSO COM BUCHA S8</t>
  </si>
  <si>
    <t>SDC04023</t>
  </si>
  <si>
    <t>FORNECIMENTO E INSTALAÇÃO DE CAIXA DE INSPEÇÃO TIPO SOLO EM PVC COM DIAMETRO 300MM, INCLUSIVE TAMPO EM FERRO FUNDIDO COM BOCAL INFERIOR QUADRADO ARTICULADO E BORDA REDONDA DE 300MM.</t>
  </si>
  <si>
    <t>SDC03014</t>
  </si>
  <si>
    <t>FORNECIMENTO E INSTALAÇÃO DE  CAIXA DE INSPEÇÃO SUSPENSA.</t>
  </si>
  <si>
    <t>FORNECIMENTO E INSTALAÇÃO DE PARAFUSO SEXTAVADO INOX 1/4" X 1" COM ARRUELA LISA ZINCADA</t>
  </si>
  <si>
    <t>SDC03015</t>
  </si>
  <si>
    <t>SDC03016</t>
  </si>
  <si>
    <t>SDC03017</t>
  </si>
  <si>
    <t>FORNECIMENTO E INSTALAÇÃO DE CAIXA DE EQUIPOTENCIALIZAÇÃO 20 X 20 X10 CM</t>
  </si>
  <si>
    <t>PLACA DE OBRA EM CHAPA DE ACO GALVANIZADO</t>
  </si>
  <si>
    <t>74209/001</t>
  </si>
  <si>
    <t>LOCACAO CONVENCIONAL DE OBRA, ATRAVÉS DE GABARITO DE TABUAS CORRIDAS PONTALETADAS, COM REAPROVEITAMENTO DE 3 VEZES.</t>
  </si>
  <si>
    <t>74077/003</t>
  </si>
  <si>
    <t>EXECUÇÃO DE REFEITÓRIO EM CANTEIRO DE OBRA EM CHAPA DE MADEIRA COMPENSADA, NÃO INCLUSO MOBILIÁRIO E EQUIPAMENTOS. AF_02/2016</t>
  </si>
  <si>
    <t>FORNECIMENTO E INSTALAÇÃO DE PLACA DE INAUGURAÇÃO, 40X50, EM AÇO INOXIDAVEL E ESCRITA EM BAIXO RELEVO</t>
  </si>
  <si>
    <t>10.3</t>
  </si>
  <si>
    <t>10.4</t>
  </si>
  <si>
    <t>10.5</t>
  </si>
  <si>
    <t>PORTAO DE FERRO COM VARA 1/2", COM REQUADRO</t>
  </si>
  <si>
    <t>SDC02045</t>
  </si>
  <si>
    <t>SDC02057</t>
  </si>
  <si>
    <t>VALVULA DESCARGA 1.1/2" COM REGISTRO, ACABAMENTO EM METAL CROMADO COM ALAVANCA PARA PCD- FORNECIMENTO E INSTALACAO</t>
  </si>
  <si>
    <t>SDC01028</t>
  </si>
  <si>
    <t>SDC04033</t>
  </si>
  <si>
    <t>FORNECIMENTO E INSTALAÇÃO DE LETRA CAIXA 30 CM EM CHAPA GALVANIZADA PINTADA COM TINTA AUTOMOTIVA, PARA LETREIRO COM NOME DA INSTITUIÇÃO</t>
  </si>
  <si>
    <t>SDC04034</t>
  </si>
  <si>
    <t>SDC01034</t>
  </si>
  <si>
    <t>TELHAMENTO COM TELHA DE AÇO/ALUMÍNIO, ONDULADA, E = 0,5 MM, COM ATÉ 2 ÁGUAS, INCLUSO IÇAMENTO</t>
  </si>
  <si>
    <t>SDC01024</t>
  </si>
  <si>
    <t>LASTRO DE BRITA Nº 02</t>
  </si>
  <si>
    <t>ARMACAO EM TELA DE ACO SOLDADA NERVURADA Q-196, ACO CA-60, 5,0MM, MALHA 10X10CM</t>
  </si>
  <si>
    <t>CAIXA DE PASSAGEM EM CHAPA DE AÇO COM TAMPA PARAFUSADA, DIMENSÕES 15X15X10CM</t>
  </si>
  <si>
    <t>CAIXA DE INSPEÇÃO EM ALVENARIA DE TIJOLO MACIÇO 60X60X60CM, REVESTIDA INTERNAMENTO COM BARRA LISA (CIMENTO E AREIA, TRAÇO 1:4) E=2,0CM, COM TAMPA PRÉ-MOLDADA DE CONCRETO E FUNDO DE CONCRETO 15MPA TIPO C - ESCAVAÇÃO E CONFECÇÃO</t>
  </si>
  <si>
    <t>SDC03046</t>
  </si>
  <si>
    <t>FORNECIMENTO E INSTALAÇÃO DE BARRA CHATA DE ALUMÍNIO 1/4" X 3/4", BARRA DE 6M</t>
  </si>
  <si>
    <t>PARA-RAIOS TIPO FRANKLIN - CABO E SUPORTE ISOLADOR</t>
  </si>
  <si>
    <t>MASTRO SIMPLES DE FERRO GALVANIZADO P/ PARA-RAIOS H=3,00M INCLUINDO BASE - FORNECIMENTO E INSTALACAO</t>
  </si>
  <si>
    <t>SDC03055</t>
  </si>
  <si>
    <t>SDC03056</t>
  </si>
  <si>
    <t>SDC03057</t>
  </si>
  <si>
    <t>CURVA 90 GRAUS PARA ELETRODUTO, PVC, ROSCÁVEL, DN 25 MM (3/4"), PARA CIRCUITOS TERMINAIS, INSTALADA EM PAREDE - FORNECIMENTO E INSTALAÇÃO. AF_12/2015</t>
  </si>
  <si>
    <t>SDC03058</t>
  </si>
  <si>
    <t>3.5</t>
  </si>
  <si>
    <t>3.6</t>
  </si>
  <si>
    <t>3.7</t>
  </si>
  <si>
    <t>3.8</t>
  </si>
  <si>
    <t>3.9</t>
  </si>
  <si>
    <t>3.10</t>
  </si>
  <si>
    <t>3.11</t>
  </si>
  <si>
    <t>3.12</t>
  </si>
  <si>
    <t>TE, PVC, SOLDÁVEL, DN 50MM, INSTALADO EM PRUMADA DE ÁGUA - FORNECIMENTO E INSTALAÇÃO. AF_12/2014</t>
  </si>
  <si>
    <t>TE, PVC, SOLDÁVEL, DN 75MM, INSTALADO EM PRUMADA DE ÁGUA - FORNECIMENTO E INSTALAÇÃO. AF_12/2014</t>
  </si>
  <si>
    <t>TÊ DE REDUÇÃO, PVC, SOLDÁVEL, DN 50MM X 25MM, INSTALADO EM PRUMADA DE ÁGUA - FORNECIMENTO E INSTALAÇÃO. AF_12/2014</t>
  </si>
  <si>
    <t>TE DE REDUÇÃO, PVC, SOLDÁVEL, DN 85MM X 60MM, INSTALADO EM PRUMADA DE ÁGUA - FORNECIMENTO E INSTALAÇÃO. AF_12/2014</t>
  </si>
  <si>
    <t>VALVULA DESCARGA 1.1/2" COM REGISTRO, ACABAMENTO EM METAL CROMADO - FORNECIMENTO E INSTALACAO</t>
  </si>
  <si>
    <t>TUBO PVC, SERIE NORMAL, ESGOTO PREDIAL, DN 40 MM, FORNECIDO E INSTALADO EM RAMAL DE DESCARGA OU RAMAL DE ESGOTO SANITÁRIO. AF_12/2014</t>
  </si>
  <si>
    <t>MÊS</t>
  </si>
  <si>
    <t>SERVIÇOS CONSTRUTIVOS COMPLEMENTARES</t>
  </si>
  <si>
    <t>6.6</t>
  </si>
  <si>
    <t>SDC07014</t>
  </si>
  <si>
    <t>CAIXA DE PROTECAO PARA MEDIDOR TRIFASICO, FORNECIMENTO E INSTALACAO</t>
  </si>
  <si>
    <t>Escola:</t>
  </si>
  <si>
    <t>6.8</t>
  </si>
  <si>
    <t>SDC02033</t>
  </si>
  <si>
    <t>FORNECIMENTO E INSTALAÇÃO DE DUCHA HIGIENICA PLÁSTICA COM REGISTRO METÁLICO 1/2"</t>
  </si>
  <si>
    <t>6.9</t>
  </si>
  <si>
    <t>TOMADA MÉDIA DE EMBUTIR (1 MÓDULO), 2P+T 10 A, INCLUINDO SUPORTE E PLACA - FORNECIMENTO E INSTALAÇÃO. AF_12/2015</t>
  </si>
  <si>
    <t>SDC03003</t>
  </si>
  <si>
    <t>SDC04049</t>
  </si>
  <si>
    <t>INSTALAÇÕES HIDROSSANITÁRIAS</t>
  </si>
  <si>
    <t>GRADE DE FERRO EM BARRA CHATA 3/16"</t>
  </si>
  <si>
    <t>FORNECIMENTO E INSTALAÇÃO DE EXAUSTOR AXIAL DE PAREDE DIAMETRO 30CM</t>
  </si>
  <si>
    <t>LUMINARIA TIPO CALHA, DE SOBREPOR, COM LAMPADA TUBULAR LED 2X20W COM FLUXO LUMINOSO MÍNIMO DE 4400 LÚMENS, COMPLETA, FORNECIMENTO E INSTALACAO</t>
  </si>
  <si>
    <t>CAIXA DE PASSAGEM 80X80X62 FUNDO BRITA COM TAMPA</t>
  </si>
  <si>
    <t>MURETA C/TIJOLO MACIÇO, REBOCADA, INCL. FUNDAÇÕES</t>
  </si>
  <si>
    <t>74145/001</t>
  </si>
  <si>
    <t>CAIXA DE INCÊNDIO 45X75X17CM - FORNECIMENTO E INSTALAÇÃO</t>
  </si>
  <si>
    <t>COMPOSIÇÃO DA PARCELA DE BDI (BONIFICAÇÕES E DESPESA INDIRETAS)</t>
  </si>
  <si>
    <t>ITENS RELATIVOS À ADMINISTRAÇÃO CENTRAL</t>
  </si>
  <si>
    <t>% SOBRE PV</t>
  </si>
  <si>
    <t>LUCRO</t>
  </si>
  <si>
    <t>BDI SEM IMPOSTOS</t>
  </si>
  <si>
    <t>TAXAS E IMPOSTOS</t>
  </si>
  <si>
    <t>0,80% de PV</t>
  </si>
  <si>
    <t>BDI COM IMPOSTOS</t>
  </si>
  <si>
    <r>
      <rPr>
        <b/>
        <i/>
        <sz val="8"/>
        <color indexed="8"/>
        <rFont val="Calibri Light"/>
        <family val="2"/>
      </rPr>
      <t xml:space="preserve">PV </t>
    </r>
    <r>
      <rPr>
        <i/>
        <sz val="8"/>
        <color indexed="8"/>
        <rFont val="Calibri Light"/>
        <family val="2"/>
      </rPr>
      <t>= Preço de Venda</t>
    </r>
  </si>
  <si>
    <t>SDC05002</t>
  </si>
  <si>
    <t>LOCAÇÃO DE CONTAINER 2,30 X 4,30 M, ALT. 2,50 M, PARA SANITARIO, COM 3 BACIAS, 4 CHUVEIROS, 1 LAVATORIO E 1 MICTORIO</t>
  </si>
  <si>
    <t>LIGAÇÃO PROVISÓRIA DE ÁGUA E SANITÁRIO</t>
  </si>
  <si>
    <t>SDC04064</t>
  </si>
  <si>
    <t>EXECUÇÃO DE PROJETO AS-BUILT</t>
  </si>
  <si>
    <t>CARGA E DESCARGA MECANIZADAS DE ENTULHO EM CAMINHAO BASCULANTE 6 M3</t>
  </si>
  <si>
    <t>M3XKM</t>
  </si>
  <si>
    <t>73929/001</t>
  </si>
  <si>
    <t>IMPERMEABILIZACAO DE SUPERFICIE COM CIMENTO ESPECIAL CRISTALIZANTE COM ADESIVO LIQUIDO, UMA DEMAO.</t>
  </si>
  <si>
    <t>5.7</t>
  </si>
  <si>
    <t>5.8</t>
  </si>
  <si>
    <t>5.9</t>
  </si>
  <si>
    <t>VERGA PRÉ-MOLDADA PARA JANELAS COM ATÉ 1,5 M DE VÃO. AF_03/2016</t>
  </si>
  <si>
    <t>VERGA PRÉ-MOLDADA PARA JANELAS COM MAIS DE 1,5 M DE VÃO. AF_03/2016</t>
  </si>
  <si>
    <t>VERGA PRÉ-MOLDADA PARA PORTAS COM ATÉ 1,5 M DE VÃO. AF_03/2016</t>
  </si>
  <si>
    <t>CONTRAVERGA PRÉ-MOLDADA PARA VÃOS DE ATÉ 1,5 M DE COMPRIMENTO. AF_03/2016</t>
  </si>
  <si>
    <t>CONTRAVERGA PRÉ-MOLDADA PARA VÃOS DE MAIS DE 1,5 M DE COMPRIMENTO. AF_03/2016</t>
  </si>
  <si>
    <t xml:space="preserve"> SDC01159</t>
  </si>
  <si>
    <t>GRADE DE FERRO PADRÃO ESCOLA COM MURETA DE ALVENARIA H:0,40M E GRADIL EM BARRA CHATA COM 1,80M DE ALTURA, TOTALIZANDO  2,20M DE ALTURA (INCLUSO PINTURA)</t>
  </si>
  <si>
    <t>6.10</t>
  </si>
  <si>
    <t>6.11</t>
  </si>
  <si>
    <t>6.12</t>
  </si>
  <si>
    <t>ARMAÇÃO DE ESTRUTURAS DE CONCRETO ARMADO, EXCETO VIGAS, PILARES, LAJES E FUNDAÇÕES PROFUNDAS (DE EDIFÍCIOS DE MÚLTIPLOS PAVIMENTOS, EDIFICAÇÃO TÉRREA OU SOBRADO), UTILIZANDO AÇO CA-50 DE 10,0 MM - MONTAGEM. AF_12/2015</t>
  </si>
  <si>
    <t>COBERTURA BLOCO DE SALAS</t>
  </si>
  <si>
    <t>73924/003</t>
  </si>
  <si>
    <t>PINTURA ESMALTE FOSCO, DUAS DEMAOS, SOBRE SUPERFICIE METALICA</t>
  </si>
  <si>
    <t>ARMAÇÃO DE ESTRUTURAS DE CONCRETO ARMADO, EXCETO VIGAS, PILARES, LAJES E FUNDAÇÕES PROFUNDAS (DE EDIFÍCIOS DE MÚLTIPLOS PAVIMENTOS, EDIFICAÇÃO TÉRREA OU SOBRADO), UTILIZANDO AÇO CA-50 DE 16,0 MM - MONTAGEM. AF_12/2015</t>
  </si>
  <si>
    <t>FORNECIMENTO E INSTALAÇÃO DE PORTA METÁLICA, 80X2,10M, CHAPA LISA Nº18, INCLUSIVE FECHADURA TIPO TRINCO ROLETE E GUARNIÇÕES - CONFORME ESPECIFICAÇÃO TÉCNICA SEDUC</t>
  </si>
  <si>
    <t>JANELA DE ALUMÍNIO MAXIM-AR, FIXAÇÃO COM PARAFUSO, VEDAÇÃO COM ESPUMA EXPANSIVA PU, COM VIDROS, PADRONIZADA. AF_07/2016</t>
  </si>
  <si>
    <t>73932/001</t>
  </si>
  <si>
    <t>SDC01116</t>
  </si>
  <si>
    <t>PORTAO DE CORRER EM GRADIL FIXO DE BARRA DE FERRO CHATA NA VERTICAL, SEM REQUADRO, ACABAMENTO NATURAL, COM TRILHOS E ROLDANAS</t>
  </si>
  <si>
    <t>GUARDA-CORPO COM CORRIMAO EM TUBO DE ACO GALVANIZADO 1 1/2"</t>
  </si>
  <si>
    <t>CHAPISCO APLICADO EM ALVENARIA (COM PRESENÇA DE VÃOS) E ESTRUTURAS DE CONCRETO DE FACHADA, COM ROLO PARA TEXTURA ACRÍLICA.  ARGAMASSA TRAÇO 1:4 E EMULSÃO POLIMÉRICA (ADESIVO) COM PREPARO EM BETONEIRA 400L. AF_06/2014</t>
  </si>
  <si>
    <t>REVESTIMENTO CERÂMICO PARA PAREDES INTERNAS EM PASTILHAS DE PORCELANA 5 X 5 CM (PLACAS DE 30 X 30 CM), ALINHADAS A PRUMO, APLICADO EM PANOS COM VÃOS</t>
  </si>
  <si>
    <t>10.6</t>
  </si>
  <si>
    <t>10.7</t>
  </si>
  <si>
    <t>REVESTIMENTO CERÂMICO PARA PISO COM PLACAS TIPO PORCELANATO DE DIMENSÕES 60X60 CM APLICADA EM AMBIENTES DE ÁREA ENTRE 5 M² E 10 M². AF_06/2014</t>
  </si>
  <si>
    <t>REVESTIMENTO CERÂMICO PARA PISO COM PLACAS TIPO PORCELANATO DE DIMENSÕES 60X60 CM APLICADA EM AMBIENTES DE ÁREA MENOR QUE 5 M². AF_06/2014</t>
  </si>
  <si>
    <t>EXECUÇÃO DE PASSEIO (CALÇADA) OU PISO DE CONCRETO COM CONCRETO MOLDADO IN LOCO, USINADO, ACABAMENTO CONVENCIONAL, ESPESSURA 8 CM, ARMADO. AF_07/2016</t>
  </si>
  <si>
    <t>SDC01045</t>
  </si>
  <si>
    <t>APLICAÇÃO E LIXAMENTO DE MASSA ACRILICA EM PAREDES, UMA DEMÃO</t>
  </si>
  <si>
    <t>APLICAÇÃO DE FUNDO SELADOR LÁTEX PVA EM PAREDES, UMA DEMÃO. AF_06/2014</t>
  </si>
  <si>
    <t>PINTURA ESMALTE FOSCO, DUAS DEMAOS, SOBRE SUPERFICIE METALICA, INCLUSO UMA DEMAO DE FUNDO ANTICORROSIVO. UTILIZACAO DE REVOLVER ( AR-COMPRIMIDO).</t>
  </si>
  <si>
    <t>12.3</t>
  </si>
  <si>
    <t>FORNECIMENTO E INSTALAÇÃO DE PLACA EM ACM, PARA LOGO DO GOVERNO, 2,50X2,50M, INCLUSIVE INSTALAÇÃO</t>
  </si>
  <si>
    <t>SDC04019</t>
  </si>
  <si>
    <t>PAR DE TABELAS DE BASQUETE EM COMPENSADO NAVAL DE *1,80 X 1,20* M, COM ARO DE METAL E REDE (SEM SUPORTE DE FIXACAO)</t>
  </si>
  <si>
    <t>SDC04018</t>
  </si>
  <si>
    <t>SUPORTE PARA TABELA DE BASQUETE DE CONCRETO ARMADO FCK = 15MPA, INCLUSIVE FORMA, ARMAÇÃO, LANÇAMENTO E DESFORMA</t>
  </si>
  <si>
    <t>SDC04016</t>
  </si>
  <si>
    <t>CONJUNTO PARA FUTSAL COM DUAS TRAVES OFICIAIS DE 3,00 X 2,00 M EM TUBO DE ACO GALVANIZADO 3" COM REQUADRO EM TUBO DE 1", PINTURA EM PRIMER COM TINTA ESMALTE SINTETICO E REDES DE POLIETILENO FIO 4 MM</t>
  </si>
  <si>
    <t>SDC04017</t>
  </si>
  <si>
    <t>CONJUNTO PARA QUADRA DE VOLEI COM POSTES EM TUBO DE ACO GALVANIZADO 3", H = *255* CM, PINTURA EM TINTA ESMALTE SINTETICO, REDE DE NYLON COM 2 MM, MALHA 10 X 10 CM E ANTENAS OFICIAIS EM FIBRA DE VIDRO</t>
  </si>
  <si>
    <t>SDC01108</t>
  </si>
  <si>
    <t>PINTURA ACRILICA EM PISO CIMENTADO DUAS DEMAOS (PANTONE 308U)</t>
  </si>
  <si>
    <t>SDC01199</t>
  </si>
  <si>
    <t>PINTURA ACRILICA EM PISO CIMENTADO DUAS DEMAOS (PANTONE 3125U)</t>
  </si>
  <si>
    <t>FORNECIMENTO E INSTALAÇÃO DE PISO PODOTÁTIL, EM CONCRETO, 25x25CM, DIRECIONAL/ALERTA</t>
  </si>
  <si>
    <t>SDC04052</t>
  </si>
  <si>
    <t>FORNECIMENTO E INSTALAÇÃO PLACA TÁTIL EM ALUMINIO, BRAILLE, 10X3CM, USO EM CORRIMÃO/ESCADA, INICIO/FIM</t>
  </si>
  <si>
    <t>SDC04060</t>
  </si>
  <si>
    <t>MAPA TATIL 85X45 COM PÉ EM TUBO METÁLICO</t>
  </si>
  <si>
    <t>SDC04031</t>
  </si>
  <si>
    <t>FORNECIMENTO E INSTALAÇÃO DE BARRA DE APOIO PARA PCD, EM AÇO INOX, 40CM</t>
  </si>
  <si>
    <t>FORNECIMENTO DE TOTEM EM CONCRETO ARMADO DE ACORDO COM MODELO DA SEDUC, DIMENSÕES 260X110X15CM, INCLUSIVE PLACA EM AÇO INOX</t>
  </si>
  <si>
    <t>SDC04050</t>
  </si>
  <si>
    <t>BANCADA EM GRANITO BRANCO ITAUNAS, E=2CM</t>
  </si>
  <si>
    <t>ESPELHO CRISTAL, ESPESSURA 4MM, COM PARAFUSOS DE FIXACAO, SEM MOLDURA</t>
  </si>
  <si>
    <t>SDC04009</t>
  </si>
  <si>
    <t>FORNECIMENTO E INSTALAÇÃO DE BARRA DE APOIO PARA PCD, EM AÇO INOX, 80CM</t>
  </si>
  <si>
    <t>SDC04025</t>
  </si>
  <si>
    <t>FORNECIMENTO E INSTALAÇÃO DE LETRA CAIXA 70 CM EM CHAPA GALVANIZADA PINTADA COM TINTA AUTOMOTIVA, PARA LETREIRO COM NOME DA INSTITUIÇÃO</t>
  </si>
  <si>
    <t>FORRO EM RÉGUAS DE PVC, FRISADO, PARA AMBIENTES COMERCIAIS, INCLUSIVE ESTRUTURA DE FIXAÇÃO. AF_05/2017_P</t>
  </si>
  <si>
    <t>SDC01089</t>
  </si>
  <si>
    <t>DIVISORIA EM GRANITO BRANCO ITAUNAS, ESP = 2CM, ASSENTADO COM ARGAMASSA TRACO 1:4, ARREMATE EM CIMENTO BRANCO, EXCLUSIVE FERRAGENS</t>
  </si>
  <si>
    <t>PAISAGISMO</t>
  </si>
  <si>
    <t>SDC01104</t>
  </si>
  <si>
    <t>FORNECIMENTO E ESPALHAMENTO DE TERRA VEGETAL PREPARADA</t>
  </si>
  <si>
    <t>73967/001</t>
  </si>
  <si>
    <t>PLANTIO DE ARVORE, ALTURA DE 1,00M, EM CAVAS DE 80X80X80CM</t>
  </si>
  <si>
    <t>73948/003</t>
  </si>
  <si>
    <t>LIMPEZA AZULEJO</t>
  </si>
  <si>
    <t>73948/008</t>
  </si>
  <si>
    <t>LIMPEZA VIDRO COMUM</t>
  </si>
  <si>
    <t>FORNECIMENTO E INSTALAÇÃO DE JANELA DE ALUMÍNIO TIPO GUILHOTINA (1,50X2,00)M, C/ PASSA PRATO EM GRANITO COMP. 2,00MXLARG. 40CM, INCLUSIVE ACESSÓRIOS DE FIXAÇÃO CONFORME DETALHE SEDUC</t>
  </si>
  <si>
    <t>REVESTIMENTOS</t>
  </si>
  <si>
    <t>EXECUÇÃO DE BEBEDOURO EM ALVENARIA. INSTALAÇÕES DE ÁGUA E ESGOTO ENCONTRAM-SE NO ITEM INSTALAÇÕES HIDRO-SANITÁRIAS</t>
  </si>
  <si>
    <t>EXECUÇÃO DE ABRIGO PROVISÓRIO PARA RESIDUOS SOLIDOS EM TIJOLO MACIÇO COM PORTÃO EM GRADE EM METALON, INCLUSIVE AZULEJO NA PARTE INTERNA CONFORME PROJETO</t>
  </si>
  <si>
    <t>MÃO FRANCESA EM BARRA DE FERRO CHATO RETANGULAR 2" X 1/4", REFORÇADA, 40 X 30 CM</t>
  </si>
  <si>
    <t>73908/002</t>
  </si>
  <si>
    <t>CANTONEIRA DE ALUMINIO 1"X1, PARA PROTECAO DE QUINA DE PAREDE</t>
  </si>
  <si>
    <t>EXECUÇÃO DE PASSEIO (CALÇADA) OU PISO DE CONCRETO COM CONCRETO MOLDADO IN LOCO, USINADO, ACABAMENTO CONVENCIONAL, ESPESSURA 6 CM, ARMADO. AF_07/2016</t>
  </si>
  <si>
    <t>ESTRUTURAL REFEITÓRIO</t>
  </si>
  <si>
    <t>COMPACTACAO MECANICA C/ CONTROLE DO GC&amp;gt;=95% DO PN (AREAS) (C/MONIVELADORA 140 HP E ROLO COMPRESSOR VIBRATORIO 80 HP)</t>
  </si>
  <si>
    <t>ESCAVAÇÃO MECANIZADA PARA BLOCO DE COROAMENTO OU SAPATA, COM PREVISÃO DE FÔRMA, COM RETROESCAVADEIRA. AF_06/2017</t>
  </si>
  <si>
    <t>ESCAVAÇÃO MECANIZADA PARA VIGA BALDRAME, COM PREVISÃO DE FÔRMA, COM MINI-ESCAVADEIRA. AF_06/2017</t>
  </si>
  <si>
    <t>REATERRO MECANIZADO DE VALA COM ESCAVADEIRA HIDRÁULICA (CAPACIDADE DA CAÇAMBA: 0,8 M³ / POTÊNCIA: 111 HP), LARGURA ATÉ 1,5 M, PROFUNDIDADE DE 1,5 A 3,0 M, COM SOLO (SEM SUBSTITUIÇÃO) DE 1ª CATEGORIA EM LOCAIS COM BAIXO NÍVEL DE INTERFERÊNCIA. AF_04/2016</t>
  </si>
  <si>
    <t>PREPARO DE FUNDO DE VALA COM LARGURA MAIOR OU IGUAL A 1,5 M E MENOR QUE 2,5 M, EM LOCAL COM NÍVEL BAIXO DE INTERFERÊNCIA. AF_06/2016</t>
  </si>
  <si>
    <t>SDC01198</t>
  </si>
  <si>
    <t>CONCRETO USINADO BOMBEAVEL, CLASSE DE RESISTENCIA C25, COM BRITA 0 E 1, SLUMP = 100 +/- 20 MM, BOMBEADO, LANÇADO E ADENSADO EM ESTRUTURA.</t>
  </si>
  <si>
    <t>ARMACAO EM TELA DE ACO SOLDADA NERVURADA Q-92, ACO CA-60, 4,2MM, MALHA 15X15CM</t>
  </si>
  <si>
    <t>ARMAÇÃO DE ESTRUTURAS DE CONCRETO ARMADO, EXCETO VIGAS, PILARES, LAJES E FUNDAÇÕES PROFUNDAS (DE EDIFÍCIOS DE MÚLTIPLOS PAVIMENTOS, EDIFICAÇÃO TÉRREA OU SOBRADO), UTILIZANDO AÇO CA-50 DE 12,5 MM - MONTAGEM. AF_12/2015</t>
  </si>
  <si>
    <t>FABRICAÇÃO, MONTAGEM E DESMONTAGEM DE FÔRMA PARA VIGA BALDRAME, EM MADEIRA SERRADA, E=25 MM, 2 UTILIZAÇÕES. AF_06/2017</t>
  </si>
  <si>
    <t>ARMAÇÃO DE ESTRUTURAS DE CONCRETO ARMADO, EXCETO VIGAS, PILARES, LAJES E FUNDAÇÕES PROFUNDAS (DE EDIFÍCIOS DE MÚLTIPLOS PAVIMENTOS, EDIFICAÇÃO TÉRREA OU SOBRADO), UTILIZANDO AÇO CA-50 DE 8,0 MM - MONTAGEM. AF_12/2015</t>
  </si>
  <si>
    <t>SUPER-ESTRUTURA PILARES</t>
  </si>
  <si>
    <t>MONTAGEM E DESMONTAGEM DE FÔRMA DE PILARES RETANGULARES E ESTRUTURAS SIMILARES COM ÁREA MÉDIA DAS SEÇÕES MENOR OU IGUAL A 0,25 M², PÉ-DIREITO SIMPLES, EM CHAPA DE MADEIRA COMPENSADA PLASTIFICADA, 10 UTILIZAÇÕES. AF_12/2015</t>
  </si>
  <si>
    <t>ARMAÇÃO DE PILAR OU VIGA DE UMA ESTRUTURA CONVENCIONAL DE CONCRETO ARMADO EM UMA EDIFICAÇÃO TÉRREA OU SOBRADO UTILIZANDO AÇO CA-50 DE 12,5 MM - MONTAGEM. AF_12/2015</t>
  </si>
  <si>
    <t>SUPER-ESTRUTURA VIGAS</t>
  </si>
  <si>
    <t>MONTAGEM E DESMONTAGEM DE FÔRMA DE VIGA, ESCORAMENTO METÁLICO, PÉ-DIREITO SIMPLES, EM CHAPA DE MADEIRA PLASTIFICADA, 10 UTILIZAÇÕES. AF_12/2015</t>
  </si>
  <si>
    <t>COBERTURA REFEITÓRIO</t>
  </si>
  <si>
    <t>SUPER-ESTRUTURA CONTRAPISO ARMADO</t>
  </si>
  <si>
    <t>ESTRUTURA DE COBERTURA</t>
  </si>
  <si>
    <t>SUPER-ESTRUTURA	PILARES DA FUNCAÇÃO</t>
  </si>
  <si>
    <t>SDC04028</t>
  </si>
  <si>
    <t>EXECUÇÃO DE ABRIGO DE GÁS EM ALVENARIA DE BLOCOS CERÂMICOS, PORTÃO EM TELA DE ARAME GALVANIZADO, DIMENSÕES CONFORME PROJETO PADRÃO SEDUC</t>
  </si>
  <si>
    <t>TUBO DE AÇO PRETO SEM COSTURA, CLASSE MÉDIA, CONEXÃO SOLDADA, DN 20 (3/4"), INSTALADO EM RAMAIS E SUB-RAMAIS DE GÁS - FORNECIMENTO E INSTALAÇÃO. AF_12/2015</t>
  </si>
  <si>
    <t>SDC07027</t>
  </si>
  <si>
    <t>REGULADOR DE GÁS 2º ESTÁGIO DE 2 KG/H (INSTALAÇÃO GÁS)</t>
  </si>
  <si>
    <t>SDC07035</t>
  </si>
  <si>
    <t>VÁLVULA DE BLOQUEIO MANUAL 3/4" PARA GÁS</t>
  </si>
  <si>
    <t>VÁLVULA DE ESFERA BRUTA, BRONZE, ROSCÁVEL, 3/4'', INSTALADO EM RESERVAÇÃO DE ÁGUA DE EDIFICAÇÃO QUE POSSUA RESERVATÓRIO DE FIBRA/FIBROCIMENTO - FORNECIMENTO E INSTALAÇÃO. AF_06/2016</t>
  </si>
  <si>
    <t>UNIÃO, EM FERRO GALVANIZADO, CONEXÃO ROSQUEADA, DN 20 (3/4"), INSTALADO EM RAMAIS E SUB-RAMAIS DE GÁS - FORNECIMENTO E INSTALAÇÃO. AF_12/2015</t>
  </si>
  <si>
    <t>CABO DE COBRE FLEXÍVEL ISOLADO, 2,5 MM², ANTI-CHAMA 450/750 V, PARA CIRCUITOS TERMINAIS - FORNECIMENTO E INSTALAÇÃO. AF_12/2015</t>
  </si>
  <si>
    <t>CABO DE COBRE FLEXÍVEL ISOLADO, 4 MM², ANTI-CHAMA 450/750 V, PARA CIRCUITOS TERMINAIS - FORNECIMENTO E INSTALAÇÃO. AF_12/2015</t>
  </si>
  <si>
    <t>CABO DE COBRE FLEXÍVEL ISOLADO, 6 MM², ANTI-CHAMA 450/750 V, PARA CIRCUITOS TERMINAIS - FORNECIMENTO E INSTALAÇÃO. AF_12/2015</t>
  </si>
  <si>
    <t>SDC03062</t>
  </si>
  <si>
    <t>CABO DE COBRE ISOLADO EM EPR FLEXÍVEL 10MM² - 0,6KV/1KV/90°</t>
  </si>
  <si>
    <t>SDC03066</t>
  </si>
  <si>
    <t>CABO DE COBRE ISOLADO EM EPR FLEXÍVEL 50MM² - 0,6KV/1KV/90°</t>
  </si>
  <si>
    <t>LÂMPADA LED 10 W BIVOLT BRANCA, FORMATO TRADICIONAL (BASE E27) - FORNECIMENTO E INSTALAÇÃO</t>
  </si>
  <si>
    <t>CAIXA RETANGULAR 4" X 2" BAIXA (0,30 M DO PISO), METÁLICA, INSTALADA EM PAREDE - FORNECIMENTO E INSTALAÇÃO. AF_12/2015</t>
  </si>
  <si>
    <t>CAIXA OCTOGONAL 3" X 3", PVC, INSTALADA EM LAJE - FORNECIMENTO E INSTALAÇÃO. AF_12/2015</t>
  </si>
  <si>
    <t>74131/006</t>
  </si>
  <si>
    <t>QUADRO DE DISTRIBUICAO DE ENERGIA DE EMBUTIR, EM CHAPA METALICA, PARA 32 DISJUNTORES TERMOMAGNETICOS MONOPOLARES, COM BARRAMENTO TRIFASICO E NEUTRO, FORNECIMENTO E INSTALACAO</t>
  </si>
  <si>
    <t>74131/008</t>
  </si>
  <si>
    <t>QUADRO DE DISTRIBUICAO DE ENERGIA DE EMBUTIR, EM CHAPA METALICA, PARA 50 DISJUNTORES TERMOMAGNETICOS MONOPOLARES, COM BARRAMENTO TRIFASICO E NEUTRO, FORNECIMENTO E INSTALACAO</t>
  </si>
  <si>
    <t>SDC03120</t>
  </si>
  <si>
    <t>BARRAMENTO SECUNDÁRIO TRIFÁSICO PARA DISJUNTOR ATÉ 100A INCLUINDO FIXAÇÃO - FORNECIMENTO E INSTALAÇÃO</t>
  </si>
  <si>
    <t>SDC03121</t>
  </si>
  <si>
    <t>BARRAMENTO SECUNDÁRIO TRIFÁSICO PARA DISJUNTOR DE 125A ATÉ 250A  INCLUINDO FIXAÇÃO - FORNECIMENTO E INSTALAÇÃO</t>
  </si>
  <si>
    <t>DISJUNTOR MONOPOLAR TIPO DIN, CORRENTE NOMINAL DE 20A - FORNECIMENTO E INSTALAÇÃO. AF_04/2016</t>
  </si>
  <si>
    <t>ELETRODUTO FLEXÍVEL CORRUGADO, PVC, DN 32 MM (1"), PARA CIRCUITOS TERMINAIS, INSTALADO EM FORRO - FORNECIMENTO E INSTALAÇÃO. AF_12/2015</t>
  </si>
  <si>
    <t>CAIXA DE PASSAGEM 30X30X40 COM TAMPA E DRENO BRITA</t>
  </si>
  <si>
    <t>SDC03128</t>
  </si>
  <si>
    <t>REFLETOR/PROJETOR LED, PARA ILUMINAÇÃO DE QUADRA, 150W, BIVOLT</t>
  </si>
  <si>
    <t>73769/003</t>
  </si>
  <si>
    <t>POSTE DE ACO CONICO CONTINUO CURVO DUPLO, FLANGEADO, COM JANELA DE INSPECAO H=9M - FORNECIMENTO E INSTALACAO</t>
  </si>
  <si>
    <t>TOMADA ALTA DE EMBUTIR (1 MÓDULO), 2P+T 10 A, INCLUINDO SUPORTE E PLACA - FORNECIMENTO E INSTALAÇÃO. AF_12/2015</t>
  </si>
  <si>
    <t>TOMADA ALTA DE EMBUTIR (1 MÓDULO), 2P+T 20 A, INCLUINDO SUPORTE E PLACA - FORNECIMENTO E INSTALAÇÃO. AF_12/2015</t>
  </si>
  <si>
    <t>CAIXA RETANGULAR 4" X 2" MÉDIA (1,30 M DO PISO), METÁLICA, INSTALADA EM PAREDE - FORNECIMENTO E INSTALAÇÃO. AF_12/2015</t>
  </si>
  <si>
    <t>CAIXA RETANGULAR 4" X 2" ALTA (2,00 M DO PISO), METÁLICA, INSTALADA EM PAREDE - FORNECIMENTO E INSTALAÇÃO. AF_12/2015</t>
  </si>
  <si>
    <t>ELETRODUTO FLEXÍVEL CORRUGADO, PVC, DN 25 MM (3/4"), PARA CIRCUITOS TERMINAIS, INSTALADO EM FORRO - FORNECIMENTO E INSTALAÇÃO. AF_12/2015</t>
  </si>
  <si>
    <t>ELETRODUTO FLEXÍVEL CORRUGADO, PVC, DN 25 MM (3/4"), PARA CIRCUITOS TERMINAIS, INSTALADO EM PAREDE - FORNECIMENTO E INSTALAÇÃO. AF_12/2015</t>
  </si>
  <si>
    <t>SDC07041</t>
  </si>
  <si>
    <t>DUTO CORRUGADO FLEXÍVEL EM PEAD Ø = 1', TIPO KANALEX OU SIMILAR, LANÇADO DIRETAMENTE NO SOLO, EXCLUSIVE ESCAVAÇÃO E REATERRO</t>
  </si>
  <si>
    <t>DISJUNTOR TRIPOLAR TIPO DIN, CORRENTE NOMINAL DE 40A - FORNECIMENTO E INSTALAÇÃO. AF_04/2016</t>
  </si>
  <si>
    <t>FORNECIMENTO E INSTALAÇÃO DE CURVA 90 GRAUS DE BARRA CHATA DE ALUMÍNIO 3/4" X 1/4", COM CURVA DE 300MM</t>
  </si>
  <si>
    <t>SDC03020</t>
  </si>
  <si>
    <t>FORNECIMENTO E INSTALAÇÃO DE CARTUCHO PARA SOLDA 115MM</t>
  </si>
  <si>
    <t>HASTE DE ATERRAMENTO EM AÇO COM 3,00 M DE COMPRIMENTO E DN = 5/8" REVESTIDA COM BAIXA CAMADA DE COBRE, SEM CONECTOR</t>
  </si>
  <si>
    <t>SUPORTE GUIA SIMPLES TEL-220</t>
  </si>
  <si>
    <t>ESCAVAÇÃO MECANIZADA DE VALA COM PROFUNDIDADE ATÉ 1,5 M (MÉDIA ENTRE MONTANTE E JUSANTE/UMA COMPOSIÇÃO POR TRECHO) COM RETROESCAVADEIRA (CAPACIDADE DA CAÇAMBA DA RETRO: 0,26 M3 / POTÊNCIA: 88 HP), LARGURA MENOR QUE 0,8 M, EM SOLO DE 1A CATEGORIA, LOCAISCOM BAIXO NÍVEL DE INTERFERÊNCIA. AF_01/2015</t>
  </si>
  <si>
    <t>REATERRO MECANIZADO DE VALA COM RETROESCAVADEIRA (CAPACIDADE DA CAÇAMBA DA RETRO: 0,26 M³ / POTÊNCIA: 88 HP), LARGURA ATÉ 0,8 M, PROFUNDIDADE ATÉ 1,5 M, COM SOLO (SEM SUBSTITUIÇÃO) DE 1ª CATEGORIA EM LOCAIS COM BAIXO NÍVEL DE INTERFERÊNCIA. AF_04/2016</t>
  </si>
  <si>
    <t>PÁRA-RAIO TIPO FRANKLIN 350MM, LATÃO CROMADO, PARA DESCIDA 1 CABO, C/SUPORTE E CONECTORES P/CABO TERRA E BASE</t>
  </si>
  <si>
    <t>SINALIZADOR NOTURNO C/ 1 LÂMPADA PL 15W, INCLUSIVE LAMPADA E RELÉ FOTOELETRICO INDIVIDUAL</t>
  </si>
  <si>
    <t>REGISTRO DE GAVETA BRUTO, LATÃO, ROSCÁVEL, 3/4", COM ACABAMENTO E CANOPLA CROMADOS. FORNECIDO E INSTALADO EM RAMAL DE ÁGUA. AF_12/2014</t>
  </si>
  <si>
    <t>REGISTRO DE PRESSÃO BRUTO, LATÃO, ROSCÁVEL, 3/4", COM ACABAMENTO E CANOPLA CROMADOS. FORNECIDO E INSTALADO EM RAMAL DE ÁGUA. AF_12/2014</t>
  </si>
  <si>
    <t>BUCHA DE REDUCAO DE PVC, SOLDAVEL, CURTA COM 85 X 75 MM</t>
  </si>
  <si>
    <t>SDC02002</t>
  </si>
  <si>
    <t>BUCHA DE REDUCAO DE PVC, SOLDAVEL, LONGA, COM 50X25 MM</t>
  </si>
  <si>
    <t>SDC02003</t>
  </si>
  <si>
    <t>BUCHA DE REDUCAO DE PVC, SOLDAVEL, LONGA, COM 60X25 MM</t>
  </si>
  <si>
    <t>BUCHA DE REDUÇÃO, PVC, SOLDÁVEL, DN 75MM X 50MM, INSTALADO EM RAMAL DE DISTRIBUIÇÃO DE ÁGUA - FORNECIMENTO E INSTALAÇÃO.</t>
  </si>
  <si>
    <t>JOELHO 90 GRAUS COM BUCHA DE LATÃO, PVC, SOLDÁVEL, DN 25MM, X 1/2 INSTALADO EM RAMAL OU SUB-RAMAL DE ÁGUA - FORNECIMENTO E INSTALAÇÃO. AF_12/2014</t>
  </si>
  <si>
    <t>TE, PVC, SOLDÁVEL, DN 85MM, INSTALADO EM PRUMADA DE ÁGUA - FORNECIMENTO E INSTALAÇÃO. AF_12/2014</t>
  </si>
  <si>
    <t>TÊ COM BUCHA DE LATÃO NA BOLSA CENTRAL, PVC, SOLDÁVEL, DN 25MM X 1/2, INSTALADO EM RAMAL DE DISTRIBUIÇÃO DE ÁGUA - FORNECIMENTO E INSTALAÇÃO. AF_12/2014</t>
  </si>
  <si>
    <t>TÊ COM BUCHA DE LATÃO NA BOLSA CENTRAL, PVC, SOLDÁVEL, DN 25MM X 3/4, INSTALADO EM RAMAL OU SUB-RAMAL DE ÁGUA - FORNECIMENTO E INSTALAÇÃO. AF_03/2015</t>
  </si>
  <si>
    <t>TÊ DE REDUÇÃO, PVC, SOLDÁVEL, DN 85MM X 75MM</t>
  </si>
  <si>
    <t>SDC02118</t>
  </si>
  <si>
    <t>CISTERNA EM CONCRETO ARMADO, CAP. 25.000 LITROS, CONFORME PROJETO PADRÃO SEDUC - FUNDAÇÕES COM ESTACAS</t>
  </si>
  <si>
    <t>un</t>
  </si>
  <si>
    <t>TE, PVC, SOLDÁVEL, DN 40MM, INSTALADO EM PRUMADA DE ÁGUA - FORNECIMENTO E INSTALAÇÃO. AF_12/2014</t>
  </si>
  <si>
    <t>REGISTRO DE GAVETA BRUTO, LATÃO, ROSCÁVEL, 1, COM ACABAMENTO E CANOPLA CROMADOS, INSTALADO EM RESERVAÇÃO DE ÁGUA DE EDIFICAÇÃO QUE POSSUA RESERVATÓRIO DE FIBRA/FIBROCIMENTO  FORNECIMENTO E INSTALAÇÃO. AF_06/2016</t>
  </si>
  <si>
    <t>REGISTRO DE GAVETA BRUTO, LATÃO, ROSCÁVEL, 1 1/4, COM ACABAMENTO E CANOPLA CROMADOS, INSTALADO EM RESERVAÇÃO DE ÁGUA DE EDIFICAÇÃO QUE POSSUA RESERVATÓRIO DE FIBRA/FIBROCIMENTO  FORNECIMENTO E INSTALAÇÃO. AF_06/2016</t>
  </si>
  <si>
    <t>CHAVE DE BOIA AUTOMÁTICA SUPERIOR 10A/250V - FORNECIMENTO E INSTALACAO</t>
  </si>
  <si>
    <t>73795/010</t>
  </si>
  <si>
    <t>VÁLVULA DE RETENÇÃO HORIZONTAL Ø 32MM (1.1/4") - FORNECIMENTO E INSTALAÇÃO</t>
  </si>
  <si>
    <t>TORNEIRA DE BÓIA REAL, ROSCÁVEL, 3/4", FORNECIDA E INSTALADA EM RESERVAÇÃO DE ÁGUA. AF_06/2016</t>
  </si>
  <si>
    <t>ADAPTADOR COM FLANGES LIVRES, PVC, SOLDÁVEL, DN 85 MM X 3 , INSTALADO EM RESERVAÇÃO DE ÁGUA DE EDIFICAÇÃO QUE POSSUA RESERVATÓRIO DE FIBRA/FIBROCIMENTO   FORNECIMENTO E INSTALAÇÃO. AF_06/2016</t>
  </si>
  <si>
    <t>REGISTRO DE GAVETA BRUTO, LATÃO, ROSCÁVEL, 3, INSTALADO EM RESERVAÇÃO DE ÁGUA DE EDIFICAÇÃO QUE POSSUA RESERVATÓRIO DE FIBRA/FIBROCIMENTO  FORNECIMENTO E INSTALAÇÃO. AF_06/2016</t>
  </si>
  <si>
    <t>CHUVEIRO ELETRICO COMUM CORPO PLASTICO TIPO DUCHA, FORNECIMENTO E INSTALACAO</t>
  </si>
  <si>
    <t>PAPELEIRA DE PAREDE EM METAL CROMADO SEM TAMPA, INCLUSO FIXAÇÃO. AF_10/2016</t>
  </si>
  <si>
    <t>SABONETEIRA PLASTICA TIPO DISPENSER PARA SABONETE LIQUIDO COM RESERVATORIO 800 A 1500 ML, INCLUSO FIXAÇÃO. AF_10/2016</t>
  </si>
  <si>
    <t>74234/001</t>
  </si>
  <si>
    <t>MICTORIO SIFONADO DE LOUCA BRANCA COM PERTENCES, COM REGISTRO DE PRESSAO 1/2" COM CANOPLA CROMADA ACABAMENTO SIMPLES E CONJUNTO PARA FIXACAO  - FORNECIMENTO E INSTALACAO</t>
  </si>
  <si>
    <t>CUBA DE EMBUTIR OVAL EM LOUÇA BRANCA, 35 X 50CM OU EQUIVALENTE, INCLUSO VÁLVULA EM METAL CROMADO E SIFÃO FLEXÍVEL EM PVC - FORNECIMENTO E INSTALAÇÃO. AF_12/2013</t>
  </si>
  <si>
    <t>TORNEIRA CROMADA DE MESA, 1/2" OU 3/4", PARA LAVATÓRIO, PADRÃO POPULAR - FORNECIMENTO E INSTALAÇÃO. AF_12/2013</t>
  </si>
  <si>
    <t>SDC02048</t>
  </si>
  <si>
    <t>FORNECIMENTO E INSTALAÇÃO DE ASSENTO PLASTICO BRANCO PARA VASO SANITARIO, PADRÃO POPULAR</t>
  </si>
  <si>
    <t>LAVATÓRIO LOUÇA BRANCA SUSPENSO, 29,5 X 39CM OU EQUIVALENTE, PADRÃO POPULAR, INCLUSO SIFÃO TIPO GARRAFA EM PVC, VÁLVULA E ENGATE FLEXÍVEL 30CM EM PLÁSTICO E TORNEIRA CROMADA DE MESA, PADRÃO POPULAR - FORNECIMENTO E INSTALAÇÃO. AF_12/2013</t>
  </si>
  <si>
    <t>VASO SANITARIO SIFONADO CONVENCIONAL PARA PCD SEM FURO FRONTAL COM LOUÇA BRANCA SEM ASSENTO, INCLUSO CONJUNTO DE LIGAÇÃO PARA BACIA SANITÁRIA AJUSTÁVEL - FORNECIMENTO E INSTALAÇÃO. AF_10/2016</t>
  </si>
  <si>
    <t>SDC02079</t>
  </si>
  <si>
    <t>LAVATÓRIO LOUÇA BRANCA SUSPENSO, 29,5 X 39CM OU EQUIVALENTE, PADRÃO POPULAR, INCLUSO SIFÃO FLEXÍVEL EM PVC, VÁLVULA E ENGATE FLEXÍVEL 30CM EM PLÁSTICO E TORNEIRA DE PRESSÃO CROMADA DE MESA TIPO ALAVANCA PARA PCD, PADRÃO POPULAR - FORNECIMENTO E INSTALAÇÃO</t>
  </si>
  <si>
    <t>CAIXA DE GORDURA DUPLA EM CONCRETO PRE-MOLDADO DN 60MM COM TAMPA - FORNECIMENTO E INSTALACAO</t>
  </si>
  <si>
    <t>JOELHO 45 GRAUS, PVC, SERIE NORMAL, ESGOTO PREDIAL, DN 40 MM, JUNTA SOLDÁVEL, FORNECIDO E INSTALADO EM RAMAL DE DESCARGA OU RAMAL DE ESGOTO SANITÁRIO. AF_12/2014</t>
  </si>
  <si>
    <t>CURVA CURTA 90 GRAUS, PVC, SERIE NORMAL, ESGOTO PREDIAL, DN 40 MM, JUNTA SOLDÁVEL, FORNECIDO E INSTALADO EM RAMAL DE DESCARGA OU RAMAL DE ESGOTO SANITÁRIO. AF_12/2014</t>
  </si>
  <si>
    <t>JOELHO 90 GRAUS, PVC, SERIE NORMAL, ESGOTO PREDIAL, DN 40 MM, JUNTA SOLDÁVEL, FORNECIDO E INSTALADO EM RAMAL DE DESCARGA OU RAMAL DE ESGOTO SANITÁRIO. AF_12/2014</t>
  </si>
  <si>
    <t>JUNÇÃO INVERTIDA 45° DE PVC BRANCO COM REDUÇÃO, PONTA BOLSA E VIROLA, Ø 75 X 50 MM</t>
  </si>
  <si>
    <t>REDUÇÃO EXCÊNTRICA, PVC, ESGOTO, DN 100 X 50 MM</t>
  </si>
  <si>
    <t>SDC02082</t>
  </si>
  <si>
    <t>REDUÇÃO EXCENTRICA EM PVC RÍGIDO SOLDÁVEL, PARA ESGOTO PRIMÁRIO, DIÂM = 75 X 50MM</t>
  </si>
  <si>
    <t>ALVENARIA EM TIJOLO CERAMICO MACICO 5X10X20CM 1/2 VEZ (ESPESSURA 10CM), ASSENTADO COM ARGAMASSA TRACO 1:2:8 (CIMENTO, CAL E AREIA)</t>
  </si>
  <si>
    <t>TUBO, PVC, SOLDÁVEL, DN 25MM, INSTALADO EM DRENO DE AR-CONDICIONADO - FORNECIMENTO E INSTALAÇÃO. AF_12/2014</t>
  </si>
  <si>
    <t>SDC02096</t>
  </si>
  <si>
    <t>BANCADA PARA COZINHA EM AÇO INOX  NAS DIMENSÕES 2,91M X 0,60M COM 02 CUBAS EM AÇO INOX DE DIMENSÕES 0,50 X 0,45 X 0,35, INCLUSIVE TORNEIRA DE PRESSÃO PARA PIA LONGA DE PAREDE, SIFÃO METÁLICO PARA PIA E VÁLVULA DE ESCOAMENTO METÁLICA PARA PIA DE COZINHA, FIXADA SOBRE PAREDE DE ALVENARIA DE TIJOLO DE 1/2 VEZ ACABAMENTO EM AZULEJO CERAMICO ESMALTADO DE DIMENSÕES 150MM X 150MM COM REJUNTE DE COR BRANCO</t>
  </si>
  <si>
    <t>FORNECIMENTO E INSTALAÇÃO TANQUE DE LAVAR DUPLO EM MÁRMORE SINTÉTICOPRETO DE DIMENSÕES 1,10 X 0,60 M ASSENTADO SOBRE ALVENARIA</t>
  </si>
  <si>
    <t>SDC02031</t>
  </si>
  <si>
    <t>TORNEIRA PRESSÃO USO GERAL</t>
  </si>
  <si>
    <t>EXTINTOR DE INCÊNDIO</t>
  </si>
  <si>
    <t>CABO DE COBRE FLEXÍVEL ISOLADO, 2,5 MM², ANTI-CHAMA 0,6/1,0 KV, PARA CIRCUITOS TERMINAIS - FORNECIMENTO E INSTALAÇÃO. AF_12/2015</t>
  </si>
  <si>
    <t>SDC03021</t>
  </si>
  <si>
    <t>ELETRODUTO ZINCADO LEVE 1" X 3M - FORNECIMENTO E INSTALAÇÃO</t>
  </si>
  <si>
    <t>SDC03022</t>
  </si>
  <si>
    <t>LUVA P/ELETRODUTO ZINCADO 1"</t>
  </si>
  <si>
    <t>SDC03023</t>
  </si>
  <si>
    <t>CURVA 90° DE FERRO ZINCADO P/ ELETRODUTO DE 1"</t>
  </si>
  <si>
    <t>CONDULETE DE PVC, TIPO X, PARA ELETRODUTO DE PVC SOLDÁVEL DN 32 MM (1''), APARENTE - FORNECIMENTO E INSTALAÇÃO. AF_11/2016</t>
  </si>
  <si>
    <t>SDC03024</t>
  </si>
  <si>
    <t>FORNECIMENTO E INSTALAÇÃO DE TAMPA CEGA P/CONDULETE 1"</t>
  </si>
  <si>
    <t>HIDRANTE DE PAREDE</t>
  </si>
  <si>
    <t>CAIXA DE INCÊNDIO 60X75X17CM - FORNECIMENTO E INSTALAÇÃO</t>
  </si>
  <si>
    <t>NIPLE, EM FERRO GALVANIZADO, DN 65 (2 1/2"), CONEXÃO ROSQUEADA, INSTALADO EM PRUMADAS - FORNECIMENTO E INSTALAÇÃO. AF_12/2015</t>
  </si>
  <si>
    <t>REGISTRO/VALVULA GLOBO ANGULAR 45 GRAUS EM LATAO PARA HIDRANTES DE INCÊNDIO PREDIAL DN 2.1/2, COM VOLANTE, CLASSE DE PRESSAO DE ATE 200 PSI - FORNECIMENTO E INSTALACAO</t>
  </si>
  <si>
    <t>SDC07026</t>
  </si>
  <si>
    <t>FORNECIMENTO E INSTALAÇÃO DE ADAPTADOR STORZ PARA ENGATE RÁPIDO 2 1/2 X 1 1/2 COM TAMPÃO E CORRENTE (INCÊNDIO)</t>
  </si>
  <si>
    <t>SDC07011</t>
  </si>
  <si>
    <t>FORNECIMENTO E INSTALAÇÃO DE ESGUICHO JATO SÓLIDO, EM LATÃO, ENGATE RÁPIDO 1.1/2" X 19MM</t>
  </si>
  <si>
    <t>SDC07010</t>
  </si>
  <si>
    <t>FORNECIMENTO DE CHAVE PARA CONEXÃO DE MANGUEIRA TIPO STORZ ENGATE RÁPIDO DUPLA  1.1/2" X 2.1/2"</t>
  </si>
  <si>
    <t>SDC07036</t>
  </si>
  <si>
    <t>COTOVELO 45° DE AÇO GALV. (2.1/2")</t>
  </si>
  <si>
    <t>SDC07030</t>
  </si>
  <si>
    <t>FORNECIMENTO E INSTALAÇÃO DE REGISTRO GAVETA BRUTO, D = 65 MM (2 1/2)"</t>
  </si>
  <si>
    <t>SDC07037</t>
  </si>
  <si>
    <t>FORNECIMENTO E INSTALAÇÃO DE TAMPA DE FERRO  60 X 40 CM COM A INSCRIÇÃO INCÊNDIO</t>
  </si>
  <si>
    <t>SDC07015</t>
  </si>
  <si>
    <t>FORNECIMENTO E INSTALAÇÃO DE ACIONADOR MANUAL LIGA DESLIGA, BOTOEIRA, TIPO QUEBRA VIDRO, PARA ACIONAMENTO DA BOMBA DO HIDRANTE</t>
  </si>
  <si>
    <t>SDC07012</t>
  </si>
  <si>
    <t>TUBO GALVANIZADO SEM CUSTURA C/ROSCA 2 1/2", BARRA DE 6 METROS COM ESPESSURA DE 3,5MM - INSTALADO EM REDE DE ALIMENTAÇÃO PARA HIDRANTE</t>
  </si>
  <si>
    <t>SDC07040</t>
  </si>
  <si>
    <t>DUTO CORRUGADO FLEXÍVEL EM PEAD Ø = 1.1/2', TIPO KANALEX OU SIMILAR, LANÇADO DIRETAMENTE NO SOLO, EXCLUSIVE ESCAVAÇÃO E REATERRO</t>
  </si>
  <si>
    <t>SDC03130</t>
  </si>
  <si>
    <t>LUMINARIA DE EMERGENCIA 1200 LUMENS DE 24 LEDS, POTENCIA 32 W, BATERIA DE LITIO, AUTONOMIA DE 3 HRS</t>
  </si>
  <si>
    <t>07/2017 SINAPI
07/2017 SEDUC</t>
  </si>
  <si>
    <t>PERFIL AÇO DOBRADO, LAMINADO E CHAPARIA ASTM A 36</t>
  </si>
  <si>
    <t>AÇOFER INDÚSTRIA E COMÉRCIO LTDA</t>
  </si>
  <si>
    <t>03.989.217/0002-45</t>
  </si>
  <si>
    <t>HELTON</t>
  </si>
  <si>
    <t>1KG</t>
  </si>
  <si>
    <t>FERMAT</t>
  </si>
  <si>
    <t>03.658.692/0004-09</t>
  </si>
  <si>
    <t>MARIELE</t>
  </si>
  <si>
    <t>PERFILADOS MULTIAÇO</t>
  </si>
  <si>
    <t>02.019.067/0001-01</t>
  </si>
  <si>
    <t>DALVA</t>
  </si>
  <si>
    <t>TINTA ACRILICO FOSCO PANTONE 308U</t>
  </si>
  <si>
    <t>Todimo</t>
  </si>
  <si>
    <t>15.375.991/0003-26</t>
  </si>
  <si>
    <t>3617-5000</t>
  </si>
  <si>
    <t>Sergio</t>
  </si>
  <si>
    <t>L</t>
  </si>
  <si>
    <t>Bigolim</t>
  </si>
  <si>
    <t>00.364.896/0001-98</t>
  </si>
  <si>
    <t>3615-9000</t>
  </si>
  <si>
    <t>Nelson</t>
  </si>
  <si>
    <t>Centro de Pinturas</t>
  </si>
  <si>
    <t>24.287.723/0001-81</t>
  </si>
  <si>
    <t>3057-2550</t>
  </si>
  <si>
    <t>Nedo</t>
  </si>
  <si>
    <t>JANELA ALUMINIO TIPO GUILHOTINA 1,5X2,0M</t>
  </si>
  <si>
    <t>Proloja Vidros</t>
  </si>
  <si>
    <t>3624-9925</t>
  </si>
  <si>
    <t>Diego</t>
  </si>
  <si>
    <t>Alumat</t>
  </si>
  <si>
    <t>10.572.049/0001-72</t>
  </si>
  <si>
    <t>3364-7998</t>
  </si>
  <si>
    <t>Jamil</t>
  </si>
  <si>
    <t>CNN Inox</t>
  </si>
  <si>
    <t>16.868.802/0001-58</t>
  </si>
  <si>
    <t>3682-6920</t>
  </si>
  <si>
    <t>PORTA DE AÇO CHAPA 18  0,90X2,10 SEM VISOR</t>
  </si>
  <si>
    <t>Serralheria Pinheiro</t>
  </si>
  <si>
    <t>99227-5424</t>
  </si>
  <si>
    <t>Geniva</t>
  </si>
  <si>
    <t>Serralheria Jesus</t>
  </si>
  <si>
    <t>99278-6775</t>
  </si>
  <si>
    <t>Fernando</t>
  </si>
  <si>
    <t>Centro Aço Metalúrgica</t>
  </si>
  <si>
    <t>26.250.326/0001-60</t>
  </si>
  <si>
    <t>Valdeci</t>
  </si>
  <si>
    <t>PORTA DE AÇO CHAPA 18  0,80X2,10 SEM VISOR</t>
  </si>
  <si>
    <t>PORTA DE AÇO CHAPA 18  0,90X2,10 COM VISOR</t>
  </si>
  <si>
    <t>TINTA ESMALTE SINTÉTICO, COR REF. PANTONE 308U, GL 3,2L</t>
  </si>
  <si>
    <t>TODIMO CONSTRUÇÃO E ACABAMENTO</t>
  </si>
  <si>
    <t>15.375.991/0001-64</t>
  </si>
  <si>
    <t>WILLIAM</t>
  </si>
  <si>
    <t>CASA DAS TINTAS</t>
  </si>
  <si>
    <t>26.538.876/0001-80</t>
  </si>
  <si>
    <t>DEJAMIL</t>
  </si>
  <si>
    <t>BIGOLIN ACABAMENTOS E ACESSORIOS</t>
  </si>
  <si>
    <t>NELSON</t>
  </si>
  <si>
    <t>AÇOFER INDÚSTRIA E COMERCIO LTDA</t>
  </si>
  <si>
    <t>TINTA ACRILICA FOSCO, COR REF. PANTONE 3125u</t>
  </si>
  <si>
    <t>CENTRO DE PINTURA</t>
  </si>
  <si>
    <t>24,287.723/0001-81</t>
  </si>
  <si>
    <t>GILBERTO</t>
  </si>
  <si>
    <t>DIVISORIA EM GRANITO BRANCO ITAUNAS</t>
  </si>
  <si>
    <t>VILLA REAL MARMORES E GRANITO</t>
  </si>
  <si>
    <t>17.134.646/0001-64</t>
  </si>
  <si>
    <t>3025-3116</t>
  </si>
  <si>
    <t>FABIANE</t>
  </si>
  <si>
    <t>JBA DISTRIB. DE MARMORES E GRANITO LTDA.</t>
  </si>
  <si>
    <t>05.739.751/0001-48</t>
  </si>
  <si>
    <t>3317-3300</t>
  </si>
  <si>
    <t>MARCOS</t>
  </si>
  <si>
    <t>REVESTIR ARTE EM PEDRAS</t>
  </si>
  <si>
    <t>05.943.596/0001-87</t>
  </si>
  <si>
    <t>3359-3519</t>
  </si>
  <si>
    <t>Altinox</t>
  </si>
  <si>
    <t>25.232.385/0001-43</t>
  </si>
  <si>
    <t>3685-2027</t>
  </si>
  <si>
    <t>Metal Calhas</t>
  </si>
  <si>
    <t>04.812.606/0001-82</t>
  </si>
  <si>
    <t>3621-1109</t>
  </si>
  <si>
    <t>TORNEIRA DE PRESSÃO, MESA, PARA LAVATORIO PCD, COM ALAVANCA</t>
  </si>
  <si>
    <t>VERDÃO MATERIAIS PARA CONSTRUÇÃO</t>
  </si>
  <si>
    <t>37.432.150/0001-84</t>
  </si>
  <si>
    <t>ODAIR</t>
  </si>
  <si>
    <t>TODIMO MATERIAIS PARA CONSTRUÇÃO</t>
  </si>
  <si>
    <t>03.507.415/0008-10</t>
  </si>
  <si>
    <t>MILCA</t>
  </si>
  <si>
    <t>MOINHO</t>
  </si>
  <si>
    <t>07.790.953/0002-20</t>
  </si>
  <si>
    <t>3317-5000</t>
  </si>
  <si>
    <t>IZABELA</t>
  </si>
  <si>
    <t>05.273.304/0001-46</t>
  </si>
  <si>
    <t>VÁLVULA DE DESCARGA, BASE, 1 1/2"</t>
  </si>
  <si>
    <t>BEIRA RIO ACABAMENTOS</t>
  </si>
  <si>
    <t>20.939.127/0001-88</t>
  </si>
  <si>
    <t>REGINALDO</t>
  </si>
  <si>
    <t>ROBERTO</t>
  </si>
  <si>
    <t>ACABAMENTO METAL CROMADO, PARA VALVULA DESCARGA, COM ALAVANCA PARA PCD</t>
  </si>
  <si>
    <t>MOINHO MATERIAIS PARA CONSTRUÇÃO</t>
  </si>
  <si>
    <t>AGROFERRAGENS LUIZÃO</t>
  </si>
  <si>
    <t>24.774.390/0001-15</t>
  </si>
  <si>
    <t>SAMIRO</t>
  </si>
  <si>
    <t>CASA DAS BOMBAS</t>
  </si>
  <si>
    <t>30.089.924/0001-77</t>
  </si>
  <si>
    <t>JOSÉ</t>
  </si>
  <si>
    <t>SUPERTEC PEÇAS E SERVIÇOS</t>
  </si>
  <si>
    <t>01.184.625/0002-02</t>
  </si>
  <si>
    <t>RENAN</t>
  </si>
  <si>
    <t>BANCADA EM AÇO INOX 2,91X0,60M COM 02 CUBAS</t>
  </si>
  <si>
    <t>Thaylon</t>
  </si>
  <si>
    <t>MAQ-INOXMET</t>
  </si>
  <si>
    <t>05.273304/0001-46</t>
  </si>
  <si>
    <t>VENTILADOR DE TETO</t>
  </si>
  <si>
    <t>Pizzatto</t>
  </si>
  <si>
    <t>04.181.115/0001-80</t>
  </si>
  <si>
    <t>3052-4200</t>
  </si>
  <si>
    <t>Leandro</t>
  </si>
  <si>
    <t>Prhimel</t>
  </si>
  <si>
    <t>04.770.552/0001-30</t>
  </si>
  <si>
    <t>3388-3800</t>
  </si>
  <si>
    <t>Jullian</t>
  </si>
  <si>
    <t>Castelli Mat Construção Ltda</t>
  </si>
  <si>
    <t>11.000.062/0001-10</t>
  </si>
  <si>
    <t>Wesley</t>
  </si>
  <si>
    <t>EXAUSTOR AXIAL DE PAREDE DIAMETRO 30CM</t>
  </si>
  <si>
    <t>BARRA NEUTRO 12 FUROS AZUL</t>
  </si>
  <si>
    <t>SELCO COMERCIO DE MATERIAIS ELÉTRICOS LTDA</t>
  </si>
  <si>
    <t>3027-9000</t>
  </si>
  <si>
    <t>CELSO</t>
  </si>
  <si>
    <t>TO LIGADO MATERIAIS ELETRICOS</t>
  </si>
  <si>
    <t>07.237.858/0001-13</t>
  </si>
  <si>
    <t>3025-4300</t>
  </si>
  <si>
    <t>BEZERRA</t>
  </si>
  <si>
    <t>ELÉTRICA UNIÃO</t>
  </si>
  <si>
    <t>25.211.602/0001-19</t>
  </si>
  <si>
    <t>3632-9300</t>
  </si>
  <si>
    <t>WENDER</t>
  </si>
  <si>
    <t>BARRA NEUTRO 12 FUROS VERDE</t>
  </si>
  <si>
    <t>Hidro eletrica Moura</t>
  </si>
  <si>
    <t>08.954.892/0001-71</t>
  </si>
  <si>
    <t>3321-0009</t>
  </si>
  <si>
    <t>Petel</t>
  </si>
  <si>
    <t>22.760.075/0001-30</t>
  </si>
  <si>
    <t>3634-1717</t>
  </si>
  <si>
    <t>Paulo</t>
  </si>
  <si>
    <t>CAIXA DE INSPEÇÃO SUSPENSA</t>
  </si>
  <si>
    <t>CARTUCHO PARA SOLDA 150MM</t>
  </si>
  <si>
    <t>CAIXA EQUALIZADOR 20X20</t>
  </si>
  <si>
    <t>3M COMERCIO DE MATERIAIS ELÉTRICOS</t>
  </si>
  <si>
    <t>37.470.911/0001-92</t>
  </si>
  <si>
    <t>PATRICIA</t>
  </si>
  <si>
    <t>SÓ LED PAINÉIS E ILUMINAÇÃO</t>
  </si>
  <si>
    <t>18.453.093/0001-75</t>
  </si>
  <si>
    <t>CAMILA</t>
  </si>
  <si>
    <t>PROJETOR LED 150W BIVOLT</t>
  </si>
  <si>
    <t>ART E LUZ</t>
  </si>
  <si>
    <t>15.059.263/0001-43</t>
  </si>
  <si>
    <t>ADRIANA</t>
  </si>
  <si>
    <t>BARRA CHATA DE ALUMÍNIO 1/4" X 3/4" - BARRA 6M</t>
  </si>
  <si>
    <t>HIDRO E ELÉTRICA MOURA LTDA EPP</t>
  </si>
  <si>
    <t>FERNANDO</t>
  </si>
  <si>
    <t>A CENTRAL COMERCIAL ELÉTRICA LTDA</t>
  </si>
  <si>
    <t>13.314.982/0001-38</t>
  </si>
  <si>
    <t>15 30315565</t>
  </si>
  <si>
    <t>EDUARDO</t>
  </si>
  <si>
    <t>ELETRODUTO ZINCADO 3/4"</t>
  </si>
  <si>
    <t>PRHIMEL ELÉTRICA E HIDRAULICA</t>
  </si>
  <si>
    <t>EDER</t>
  </si>
  <si>
    <t>PETEL</t>
  </si>
  <si>
    <t>22.760.075/0001-03</t>
  </si>
  <si>
    <t>RICARDO</t>
  </si>
  <si>
    <t>MOURA HIDRAULICA E ELÉTRICA</t>
  </si>
  <si>
    <t>Selco Comercio de Materiais Elétricos Ltda</t>
  </si>
  <si>
    <t>07.624.206/0001-31</t>
  </si>
  <si>
    <t>Celso</t>
  </si>
  <si>
    <t>Dambros Elétrica e Ferragens Ltda-ME</t>
  </si>
  <si>
    <t>11.113.763/0001-65</t>
  </si>
  <si>
    <t>3661-7232</t>
  </si>
  <si>
    <t>Amaral</t>
  </si>
  <si>
    <t>ELETRODUTODE FERRO ZINCADO LEVE 1" X 3M</t>
  </si>
  <si>
    <t xml:space="preserve"> LUVA P/ELETRODUTO ZINCADO 1"</t>
  </si>
  <si>
    <t>CURVA 90° DE FERRO ZINCADO P/ ELTRODUTO DE 1"</t>
  </si>
  <si>
    <t>TAMPA CEGA PARA CONDULETE 1"</t>
  </si>
  <si>
    <t>ESCOVODROMO EM AÇO INOX 2370X500X250</t>
  </si>
  <si>
    <t>REFRICOLL REFRIGERAÇÃO</t>
  </si>
  <si>
    <t>09.258.198/0001-82</t>
  </si>
  <si>
    <t>ALEXANDRE</t>
  </si>
  <si>
    <t>METAL CALHAS</t>
  </si>
  <si>
    <t>INOX SÃO JOSÉ</t>
  </si>
  <si>
    <t>14.165.383/0001-62</t>
  </si>
  <si>
    <t>66-3421-1843</t>
  </si>
  <si>
    <t>ALECIO</t>
  </si>
  <si>
    <t>PISO TÁTIL EM CONCRETO, 25X25CM - DIRECIONAL E E ALERTA</t>
  </si>
  <si>
    <t>GEOBLOCOS</t>
  </si>
  <si>
    <t>13.537.179/0001-62</t>
  </si>
  <si>
    <t>3667-4802</t>
  </si>
  <si>
    <t>MARIA</t>
  </si>
  <si>
    <t>CASTELLI</t>
  </si>
  <si>
    <t>LAURIANO</t>
  </si>
  <si>
    <t>TOTAL ACESSIBILIDADE</t>
  </si>
  <si>
    <t>12.127.024/0001-95</t>
  </si>
  <si>
    <t>ALINE</t>
  </si>
  <si>
    <t>Loja das molduras</t>
  </si>
  <si>
    <t>04.586.826/0001-35</t>
  </si>
  <si>
    <t>3023-8979</t>
  </si>
  <si>
    <t>Cristiana</t>
  </si>
  <si>
    <t>Excelência Vidros</t>
  </si>
  <si>
    <t>18.238.971/0001-30</t>
  </si>
  <si>
    <t>2127-5000</t>
  </si>
  <si>
    <t>amanda</t>
  </si>
  <si>
    <t>Empório do Vidro</t>
  </si>
  <si>
    <t>08.117.730/0001-89</t>
  </si>
  <si>
    <t>3023-7878</t>
  </si>
  <si>
    <t>Adriana</t>
  </si>
  <si>
    <t>FORNECIMENTO DE TOTEM EM CONCRETO ARMADO DE ACORDO COM MODELO DA SEDUC</t>
  </si>
  <si>
    <t>C.R SANTOS</t>
  </si>
  <si>
    <t>07.871.559/0001-36</t>
  </si>
  <si>
    <t>CENEDON</t>
  </si>
  <si>
    <t>RAWAL PLACAS</t>
  </si>
  <si>
    <t>15.353.188/0001-29</t>
  </si>
  <si>
    <t>ENGENHARIA E CONSTRUTORA EIRELI</t>
  </si>
  <si>
    <t>01.180.102/0001-07</t>
  </si>
  <si>
    <t>LETRA CAIXA EM AÇO GALVANIZADO, ALTURA 70CM, INSTALAÇÃO</t>
  </si>
  <si>
    <t>PUBLIARTE PAINEIS</t>
  </si>
  <si>
    <t>ANTÔNIO</t>
  </si>
  <si>
    <t>CENTRO OESTE COMUNICAÇÃO VISUAL</t>
  </si>
  <si>
    <t>ARIDES</t>
  </si>
  <si>
    <t>EMPLACA COMUNICAÇÃO VISUAL</t>
  </si>
  <si>
    <t>17.786.657/0001-29</t>
  </si>
  <si>
    <t>PLACA EM INOX, 40X50, ESCRITA EM BAIXO RELEVO</t>
  </si>
  <si>
    <t>RONALD</t>
  </si>
  <si>
    <t>REALCE PAPEL</t>
  </si>
  <si>
    <t>10.307.321/0001-97</t>
  </si>
  <si>
    <t>EZEQUIEL</t>
  </si>
  <si>
    <t>MG PRINT COMUNICAÇÃO VISUAL</t>
  </si>
  <si>
    <t>11.931.138/0001-20</t>
  </si>
  <si>
    <t>FORNECIMENTO E INSTALAÇÃO BATERIA GÁS 2 P45</t>
  </si>
  <si>
    <t>CHAMA AZUL</t>
  </si>
  <si>
    <t>00.123.322/0002-09</t>
  </si>
  <si>
    <t>3624-1044</t>
  </si>
  <si>
    <t>BARRA DE APOIO INOX 40CM</t>
  </si>
  <si>
    <t>ELETRO FIOS</t>
  </si>
  <si>
    <t>3618-2500</t>
  </si>
  <si>
    <t>JAQUESON</t>
  </si>
  <si>
    <t>MULTICASA</t>
  </si>
  <si>
    <t>15.036.858/0001-83</t>
  </si>
  <si>
    <t>3618-1551</t>
  </si>
  <si>
    <t>CAROLINE</t>
  </si>
  <si>
    <t>Erika</t>
  </si>
  <si>
    <t>LETRA CAIXA EM CHAPA GALVANIZADA PINTADA COM TINTA AUTOMOTIVA, 30CM INSTALAÇÃO</t>
  </si>
  <si>
    <t>03.199.999/0001-38</t>
  </si>
  <si>
    <t>3624-2644</t>
  </si>
  <si>
    <t>IMAGINARIO MIDIA VISUAL</t>
  </si>
  <si>
    <t>17.856.736/0001-69</t>
  </si>
  <si>
    <t>3056-3030</t>
  </si>
  <si>
    <t>CAROLINA</t>
  </si>
  <si>
    <t>PLACA EM ACM, PARA LOGO DO GOVERNO, DIM. 2,50X2,50M COM BRASÃO DO ESTADO ADESIVADA</t>
  </si>
  <si>
    <t>PENALUX</t>
  </si>
  <si>
    <t>44.441.806/0001-90</t>
  </si>
  <si>
    <t>3051-0600</t>
  </si>
  <si>
    <t>ELIZANGELA</t>
  </si>
  <si>
    <t>VELOZ IMPRESS</t>
  </si>
  <si>
    <t>09.087.635/0001-42</t>
  </si>
  <si>
    <t>M3 SINALIZAÇÃO</t>
  </si>
  <si>
    <t>03.859.651/0001-20</t>
  </si>
  <si>
    <t>3026-2854</t>
  </si>
  <si>
    <t>CARLOS</t>
  </si>
  <si>
    <t>TAMPO BANCADA EM GRANITO BRANCO ITAUNAS</t>
  </si>
  <si>
    <t>PLACA TÁTIL EM ALUMINIO, BRAILLE, 10X3CM, USO EM CORRIMÃO/ESCADA, INICIO/FIM</t>
  </si>
  <si>
    <t>LIVRE ACESSO BRAILLE</t>
  </si>
  <si>
    <t>Emplaca Comunicação Visual</t>
  </si>
  <si>
    <t>Maria José</t>
  </si>
  <si>
    <t>67 4042-1953</t>
  </si>
  <si>
    <t>ACIONADOR MANUAL PARA ALARME, TIPO QUEBRA VIDRO, COM MARTELO</t>
  </si>
  <si>
    <t>PHIMEL ELÉTRICA E HIDRÁULICA EIRELI - ME</t>
  </si>
  <si>
    <t>JULLIAN</t>
  </si>
  <si>
    <t>PETEL MATERIAIS ELÉTRICOS</t>
  </si>
  <si>
    <t>THIAGO</t>
  </si>
  <si>
    <t>CARLA</t>
  </si>
  <si>
    <t>BATERIA SELADA PARA CENTRAL DE ALARME, 12V/5A</t>
  </si>
  <si>
    <t>CENTRAL DE ALARME IPA, 12 LAÇOS, SEM BATERIA</t>
  </si>
  <si>
    <t>PLACA DE SINALIZAÇÃO DE EXTINTOR 20X30CM</t>
  </si>
  <si>
    <t>Hidro Elétrica Moura</t>
  </si>
  <si>
    <t>Carla</t>
  </si>
  <si>
    <t>Thiago</t>
  </si>
  <si>
    <t>PLACA DE SINALIZAÇÃO INDICATIVA, SAÍDA DE EMERGÊNCIA, SAÍDA LATERAL ESQUERDA/DIREITA/SAÍDA EM FRENTE</t>
  </si>
  <si>
    <t>SIRENE ELETRÔNICA, 12V, ALARME DE EMERGÊNCIA</t>
  </si>
  <si>
    <t>DUTO CORRUGADO FLEXIVEL 1"</t>
  </si>
  <si>
    <t>PATRIANE</t>
  </si>
  <si>
    <t>INCENDIO BOTOEIRA LIGA DESLIGA PARA BOMBA</t>
  </si>
  <si>
    <t>DIRCEU</t>
  </si>
  <si>
    <t>BARRAMENTO DE COBRE 100A</t>
  </si>
  <si>
    <t>SELCO</t>
  </si>
  <si>
    <t>TOLIGADO</t>
  </si>
  <si>
    <t>BARRAMENTO DE COBRE 250A</t>
  </si>
  <si>
    <t>DUTO CORRUGADO FLEXÍVEL 1.1/2"</t>
  </si>
  <si>
    <t>LUMINARIA DE EMERGENCIA 1200 LUMENS</t>
  </si>
  <si>
    <t>ELÉTRICA PARANÁ</t>
  </si>
  <si>
    <t>08.139.615/0001-05</t>
  </si>
  <si>
    <t>3388-0819</t>
  </si>
  <si>
    <t>RAFAEL</t>
  </si>
  <si>
    <t>TAMPÃO DE FERRO 60X40 CM</t>
  </si>
  <si>
    <t xml:space="preserve"> TUBO GALVANIZADO C/ROSCA 2 1/2", BARRA DE 6 METROS, ESPESSURA 3,5MM</t>
  </si>
  <si>
    <t>01.184.625/0001-13</t>
  </si>
  <si>
    <t>3634-2266</t>
  </si>
  <si>
    <t>Elias</t>
  </si>
  <si>
    <t>IMPERMEABILIZANTE SEMIFLEXIVEL SIKATOP 100 18KG</t>
  </si>
  <si>
    <t>TODIMO</t>
  </si>
  <si>
    <t>AMERICANAS</t>
  </si>
  <si>
    <t>VERDÃO</t>
  </si>
  <si>
    <t>MOREIRA</t>
  </si>
  <si>
    <t>MAPA DE COTAÇÃO</t>
  </si>
  <si>
    <t>SPDA</t>
  </si>
  <si>
    <t>Escola</t>
  </si>
  <si>
    <t>1.2</t>
  </si>
  <si>
    <t>CURVA 90 GRAUS DE BARRA CHATA EM ALUMINIO 3/4 " X 1/4 " X 300 MM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</si>
  <si>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</si>
  <si>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</si>
  <si>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</si>
  <si>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</si>
  <si>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</si>
  <si>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</si>
  <si>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</si>
  <si>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</si>
  <si>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</si>
  <si>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</si>
  <si>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SUPORTE GUIA SIMPLES COM ROLDANA EM POLIPROPILENO PARA CHUMBAR, H = 20 CM</t>
  </si>
  <si>
    <t>1.13</t>
  </si>
  <si>
    <t>1.14</t>
  </si>
  <si>
    <t>1.15</t>
  </si>
  <si>
    <t>1.16</t>
  </si>
  <si>
    <t>1.17</t>
  </si>
  <si>
    <t>Escavação manual de vala em solo de 1a categoria, profundidade até 2 m</t>
  </si>
  <si>
    <t>1.18</t>
  </si>
  <si>
    <t>1.19</t>
  </si>
  <si>
    <t>1.20</t>
  </si>
  <si>
    <t>1.21</t>
  </si>
  <si>
    <t>1.22</t>
  </si>
  <si>
    <t>PARA-RAIOS TIPO FRANKLIN 350 MM, EM LATAO CROMADO, DUAS DESCIDAS, PARA PROTECAO DE EDIFICACOES CONTRA DESCARGAS ATMOSFERICAS</t>
  </si>
  <si>
    <t>1.23</t>
  </si>
  <si>
    <t>SINALIZADOR NOTURNO SIMPLES PARA PARA-RAIOS, SEM RELE FOTOELETRICO</t>
  </si>
  <si>
    <t>1.24</t>
  </si>
  <si>
    <t>1.25</t>
  </si>
  <si>
    <t>1.26</t>
  </si>
  <si>
    <t>1.27</t>
  </si>
  <si>
    <t>1.28</t>
  </si>
  <si>
    <t>1.29</t>
  </si>
  <si>
    <t>Cisterna em concreto armado, cap. 24.500 Litros, conforme projeto padrão seduc</t>
  </si>
  <si>
    <t>JOELHO 90 GRAUS COM BUCHA DE LATÃO, PVC, SOLDÁVEL, DN 20MM, X 1/2 INSTALADO EM RAMAL OU SUB-RAMAL DE ÁGUA - FORNECIMENTO E INSTALAÇÃO.</t>
  </si>
  <si>
    <t>Cuba de embutir oval em louça branca, 35 x 50cm ou equivalente</t>
  </si>
  <si>
    <t>Torneira cromada de mesa, 1/2" ou 3/4", para lavatório</t>
  </si>
  <si>
    <t>Lavatório louça branca suspenso, 29,5 x 39cm ou equivalente, padrão popular, incluso sifão tipo garrafa em pvc, válvula e engate flexível 30cm em plástico e torneira cromada de mesa</t>
  </si>
  <si>
    <t>Papeleira de parede em metal cromado sem tampa</t>
  </si>
  <si>
    <t>Toalheiro plastico tipo dispenser para papel toalha interfolhado</t>
  </si>
  <si>
    <t>Saboneteira plastica tipo dispenser para sabonete liquido com reservatorio 800 a 1500 ml</t>
  </si>
  <si>
    <t>Chuveiro eletrico comum corpo plastico tipo ducha</t>
  </si>
  <si>
    <t>TORNEIRA DE PRESSÃO CROMADA DE MESA, PARA LAVATÓRIO PCD, COM ALAVANCA DE ACIONAMENTO - FORNECIMENTO E INSTALAÇÃO</t>
  </si>
  <si>
    <t>JUNÇÃO 45° DE PVC BRANCO COM REDUÇÃO, PONTA BOLSA E VIROLA, Ø 75 X 50 MM</t>
  </si>
  <si>
    <t>TUBO PVC, SERIE NORMAL, ESGOTO PREDIAL, DN 150 MM, FORNECIDO E INSTALADO EM SUBCOLETOR AÉREO DE ESGOTO SANITÁRIO. AF_12/2014</t>
  </si>
  <si>
    <t>Tubo, pvc, soldável, dn 25mm</t>
  </si>
  <si>
    <t xml:space="preserve">INSTALAÇÕES DE SEGURANÇA E PREVENÇÃO A COMBATE A INCÊNDIO E PÂNICO </t>
  </si>
  <si>
    <t>SINALIZAÇÃO - SAÍDA DE EMERGÊNCIA</t>
  </si>
  <si>
    <t>SISTEMA DE ALARME DE EMERGÊNCIA</t>
  </si>
  <si>
    <t>SISTEMA E ACIONAMENTO DO HIDRANTE</t>
  </si>
  <si>
    <t>4.1.1</t>
  </si>
  <si>
    <t>4.1.2</t>
  </si>
  <si>
    <t>4.1.3</t>
  </si>
  <si>
    <t>4.1.4</t>
  </si>
  <si>
    <t>4.2.1</t>
  </si>
  <si>
    <t>4.2.2</t>
  </si>
  <si>
    <t>4.2.3</t>
  </si>
  <si>
    <t>4.2.4</t>
  </si>
  <si>
    <t>4.3.1</t>
  </si>
  <si>
    <t>4.3.2</t>
  </si>
  <si>
    <t>4.3.3</t>
  </si>
  <si>
    <t>4.3.4</t>
  </si>
  <si>
    <t>ALVENARIA EM TIJOLO CERÂMICO MACIÇO 5X10X20CM 1/2 VEZ (ESPESSURA 10CM), ASSENTADO COM ARGAMASSA TRAÇO 1:2:8 (CIMENTO, CAL E AREIA)</t>
  </si>
  <si>
    <t>4.3.5</t>
  </si>
  <si>
    <t xml:space="preserve"> DISJUNTOR TRIPOLAR TIPO DIN, CORRENTE NOMINAL DE 40A - FORNECIMENTO E INSTALAÇÃO. AF_04/2016</t>
  </si>
  <si>
    <t>ELETRODUTO ZINCADO, INCLUSIVE CONEXÕES DE 1" ( CASA DE BOMBA)</t>
  </si>
  <si>
    <t>LUVA P/ELETRODUTO ZINCADO 1" (Casa de Bomba)</t>
  </si>
  <si>
    <t>CURVA 90° DE FERRO ZINCADO P/ ELTRODUTO DE 1" (Casa de Bomba)</t>
  </si>
  <si>
    <t>ABRAÇADEIRA TIPO "D" COM CUNHA, DIÂMETRO 1" (Casa de Bomba)</t>
  </si>
  <si>
    <t>LUMINÁRIA DE EMERGÊNCIA</t>
  </si>
  <si>
    <t>LUMINARIA DE EMERGENCIA 24 LEDS, POTENCIA 32 W, BATERIA DE LITIO, Bloco Autonomo DE 960 LUMENS</t>
  </si>
  <si>
    <t>AÇO CA50 - 12.5mm</t>
  </si>
  <si>
    <t xml:space="preserve">ESCAVAÇÃO  DE BLOCO SOBRE ESTACAS (CONSIDERADO ÁREA DO BLOCO E FOLGA DE 20cm PARA CADA LADO - ALTURA DO BLOCO + 5cm DE LASTRO + ALTURA DO BALDRAME) </t>
  </si>
  <si>
    <t xml:space="preserve">REATERRO DOS BLOCOS (ESCAVAÇÃO DOS BLOCOS - VOLUME DE CONCRETO DOS BLOCOS) </t>
  </si>
  <si>
    <t>H BLOCO</t>
  </si>
  <si>
    <t>H BALDRAME</t>
  </si>
  <si>
    <t>BOTAFORA MATERIAL DOS BLOCOS (CONSIDERADO 40% DE EMPOLAMENTO)</t>
  </si>
  <si>
    <t xml:space="preserve">APILOAMENTO DE FUNDO DOS BLOCOS - CONSIDERADO ÁREA ESCAVADA </t>
  </si>
  <si>
    <t>BOTAFORA MATERIAL DA CISTERNA (CONSIDERADO 40% DE EMPOLAMENTO)</t>
  </si>
  <si>
    <t xml:space="preserve">APILOAMENTO DE FUNDO DA CISTERNA - CONSIDERADO ÁREA ESCAVADA </t>
  </si>
  <si>
    <t>PINTURA INTERNA COM REVESTIMENTO IMPERMEABILIZANTE TIPO SIKATOP 100 (LATERAIS E FUNDO DA CISTERNA)</t>
  </si>
  <si>
    <t>VOLUME DE CONCRETO FCK=25MPA (COM ADITIVO IMPERMEABILIZANTE)</t>
  </si>
  <si>
    <t>BLOCO SOBRE ESTACAS</t>
  </si>
  <si>
    <t>CORTINAS</t>
  </si>
  <si>
    <t>AÇO CA60 - 6.3mm</t>
  </si>
  <si>
    <t>AÇO CA50 - 8mm (ARMADURA DE REFORÇO DE CANTOS DA CORTINA)</t>
  </si>
  <si>
    <t>AÇO CA50 - 8mm (ARMADURA DE REFORÇO DE FUNDO DA CORTINA)</t>
  </si>
  <si>
    <t>AÇO CA50 - 12.5mm (ESCADA)</t>
  </si>
  <si>
    <t>VIGAS DE COBERTURA</t>
  </si>
  <si>
    <t>INSTAÇAÕES ELÉTRICAS</t>
  </si>
  <si>
    <t>Cabo de cobre flexível isolado, 2,5 mm², anti-chama 450/750 v, para circuitos terminais - fornecimento e instalação. Af_12/2015</t>
  </si>
  <si>
    <t>Cabo de cobre flexível isolado, 4 mm², anti-chama 450/750 v, para circuitos terminais - fornecimento e instalação. Af_12/2015</t>
  </si>
  <si>
    <t>Cabo de cobre flexível isolado, 6 mm², anti-chama 450/750 v, para circuitos terminais - fornecimento e instalação. Af_12/2015</t>
  </si>
  <si>
    <t>Cabo isolado em epr seção 50,00 mm² - 0,6/1 KV - 90°C - flexível</t>
  </si>
  <si>
    <t xml:space="preserve">Fornecimento e instalação de luminária tipo calha para 2 (duas) lâmpadas tubulares led com fluxo luminoso mínimo de 4400 lúmens.  </t>
  </si>
  <si>
    <t>Lâmpada led 10 w bivolt branca, formato tradicional (base e27) - fornecimento e instalação</t>
  </si>
  <si>
    <t>Fornecimento e instalação de ventilador de teto 110v, 3 pás madeira, 3 velocidades, sem luminária</t>
  </si>
  <si>
    <t>Caixa retangular 4" x 2" baixa (0,30 m do piso), metálica, instalada em parede - fornecimento e instalação. Af_12/2015</t>
  </si>
  <si>
    <t>Tomada baixa de embutir (1 módulo), 2p+t 10 a, incluindo suporte e placa - fornecimento e instalação. Af_12/2015</t>
  </si>
  <si>
    <t>Interruptor simples (1 módulo), 10a/250v, incluindo suporte e placa - fornecimento e instalação. Af_12/2015</t>
  </si>
  <si>
    <t>Interruptor simples (2 módulos), 10a/250v, incluindo suporte e placa - fornecimento e instalação. Af_12/2015</t>
  </si>
  <si>
    <t>Interruptor simples (3 módulos), 10a/250v, incluindo suporte e placa - fornecimento e instalação. Af_12/2015</t>
  </si>
  <si>
    <t>Quadro de distribuicao de energia de embutir, em chapa metalica, para 32 disjuntores termomagneticos monopolares, com barramento trifasico e neutro, fornecimento e instalacao</t>
  </si>
  <si>
    <t>Quadro de distribuicao de energia de embutir, em chapa metalica, para 50 disjuntores termomagneticos monopolares, com barramento trifasico e neutro, fornecimento e instalacao</t>
  </si>
  <si>
    <t>Barramento secundário trifásico para disjuntor até 100A incluindo fixação - Fornecimento e instalação</t>
  </si>
  <si>
    <t>Barramento secundário trifásico para disjuntor de 125A até 250A  incluindo fixação - Fornecimento e instalação</t>
  </si>
  <si>
    <t>Disjuntor monopolar tipo din, corrente nominal de 10a - fornecimento e instalação. Af_04/2016</t>
  </si>
  <si>
    <t>Disjuntor monopolar tipo din, corrente nominal de 16a - fornecimento e instalação. Af_04/2016</t>
  </si>
  <si>
    <t>Disjuntor monopolar tipo din, corrente nominal de 20a - fornecimento e instalação. Af_04/2016</t>
  </si>
  <si>
    <t>Disjuntor bipolar tipo din, corrente nominal de 10a - fornecimento e instalação. Af_04/2016</t>
  </si>
  <si>
    <t>Disjuntor termomagnetico tripolar padrao nema (americano) 125 a 150A 240v, fornecimento e instalacao</t>
  </si>
  <si>
    <t>1.30</t>
  </si>
  <si>
    <t>1.31</t>
  </si>
  <si>
    <t>1.32</t>
  </si>
  <si>
    <t>1.33</t>
  </si>
  <si>
    <t>1.34</t>
  </si>
  <si>
    <t>1.35</t>
  </si>
  <si>
    <t>Caixa de passagem 60x60x70 fundo brita com tampa</t>
  </si>
  <si>
    <t>1.36</t>
  </si>
  <si>
    <t>1.37</t>
  </si>
  <si>
    <t>1.38</t>
  </si>
  <si>
    <t>1.39</t>
  </si>
  <si>
    <t>1.40</t>
  </si>
  <si>
    <t>1.41</t>
  </si>
  <si>
    <t>1.42</t>
  </si>
  <si>
    <t>1.43</t>
  </si>
  <si>
    <t>Reaterro de vala com compactação manual</t>
  </si>
  <si>
    <t>1.44</t>
  </si>
  <si>
    <t>und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</si>
  <si>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</si>
  <si>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</si>
  <si>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</si>
  <si>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</si>
  <si>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</si>
  <si>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</si>
  <si>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</si>
  <si>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</si>
  <si>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</si>
  <si>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</si>
  <si>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</si>
  <si>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</si>
  <si>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</si>
  <si>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</si>
  <si>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</si>
  <si>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</si>
  <si>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</si>
  <si>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</si>
  <si>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ok</t>
  </si>
  <si>
    <t>Contra Verga vão acima de 1,50m</t>
  </si>
  <si>
    <t>Telha Isotermica</t>
  </si>
  <si>
    <t>Emboço</t>
  </si>
  <si>
    <t>Basquete</t>
  </si>
  <si>
    <t>Trave Futebol</t>
  </si>
  <si>
    <t>Volei</t>
  </si>
  <si>
    <t>1 unidade</t>
  </si>
  <si>
    <t>Tampo de granito para lavatorio</t>
  </si>
  <si>
    <t>Espelho cristal</t>
  </si>
  <si>
    <t>Barra de apoio banheiros PCD 0,80cm</t>
  </si>
  <si>
    <t>Barra de apoio banheiros PCD 0,40cm</t>
  </si>
  <si>
    <t>Divisória Granito</t>
  </si>
  <si>
    <t>Oiti</t>
  </si>
  <si>
    <t>Jerivá</t>
  </si>
  <si>
    <t>Limpeza Geral</t>
  </si>
  <si>
    <t>SERVIÇOS TÉCNICOS - PROJETOS - CONSTRUÇÃO DE REFEITORIO</t>
  </si>
  <si>
    <t>Locação</t>
  </si>
  <si>
    <t>4.4</t>
  </si>
  <si>
    <t>Portas 90 (P2)</t>
  </si>
  <si>
    <t>Area de Chapisco (-) Área de Emboço</t>
  </si>
  <si>
    <t>Piso Porcelanato</t>
  </si>
  <si>
    <t>Forro de PVC</t>
  </si>
  <si>
    <t>Emassamento Externo</t>
  </si>
  <si>
    <t>Revestimento cerâmico 5x5 H= 1,10ml
*COR PANTONE 308U
*COR PANTONE 2758C
*COR  PANTONE 3125U</t>
  </si>
  <si>
    <t>Esmalte Sint. Metálica (Branco Gelo)</t>
  </si>
  <si>
    <t>Bebedouro</t>
  </si>
  <si>
    <t>Abrigo Resíduos Sólidos</t>
  </si>
  <si>
    <t>Exaustor</t>
  </si>
  <si>
    <t>Espelho</t>
  </si>
  <si>
    <t>Cantoneira de Aluminio</t>
  </si>
  <si>
    <t>Calçada (Passeio)</t>
  </si>
  <si>
    <t>LIMPEZA DA OBRA</t>
  </si>
  <si>
    <t>Limpeza vidro</t>
  </si>
  <si>
    <t>Igual area de esquadrias</t>
  </si>
  <si>
    <t>Limpeza azulejos</t>
  </si>
  <si>
    <t>Igual area de revestimentos 20x20 e 5x5</t>
  </si>
  <si>
    <t>Abrigo de Gás</t>
  </si>
  <si>
    <t>Reaterro</t>
  </si>
  <si>
    <t>80% do volume da escavação</t>
  </si>
  <si>
    <t>Regulador de pressão 2° Estágio 3/4''</t>
  </si>
  <si>
    <t>Válvula de Esfera 3/4''</t>
  </si>
  <si>
    <t>Pintura do eletroduto - cor amarela, com 1 demão de zarcão</t>
  </si>
  <si>
    <t>União 3/4"</t>
  </si>
  <si>
    <t>Composições Principais</t>
  </si>
  <si>
    <t>Código</t>
  </si>
  <si>
    <t>Banco</t>
  </si>
  <si>
    <t>Descrição</t>
  </si>
  <si>
    <t>Tipo</t>
  </si>
  <si>
    <t>Valor Unit</t>
  </si>
  <si>
    <t>Composição</t>
  </si>
  <si>
    <t xml:space="preserve"> 1.1 </t>
  </si>
  <si>
    <t>Próprio</t>
  </si>
  <si>
    <t>SERT - SERVIÇOS TÉCNICOS</t>
  </si>
  <si>
    <t>Composição Auxiliar</t>
  </si>
  <si>
    <t xml:space="preserve"> 90777 </t>
  </si>
  <si>
    <t>SINAPI</t>
  </si>
  <si>
    <t>ENGENHEIRO CIVIL DE OBRA JUNIOR COM ENCARGOS COMPLEMENTARES</t>
  </si>
  <si>
    <t>SEDI - SERVIÇOS DIVERSOS</t>
  </si>
  <si>
    <t>H</t>
  </si>
  <si>
    <t>80,0</t>
  </si>
  <si>
    <t>70,03</t>
  </si>
  <si>
    <t xml:space="preserve"> 88326 </t>
  </si>
  <si>
    <t>VIGIA NOTURNO COM ENCARGOS COMPLEMENTARES</t>
  </si>
  <si>
    <t>15,52</t>
  </si>
  <si>
    <t xml:space="preserve"> 94295 </t>
  </si>
  <si>
    <t>MESTRE DE OBRAS COM ENCARGOS COMPLEMENTARES</t>
  </si>
  <si>
    <t>MES</t>
  </si>
  <si>
    <t>1,0</t>
  </si>
  <si>
    <t>4.968,93</t>
  </si>
  <si>
    <t xml:space="preserve"> SDC06001 </t>
  </si>
  <si>
    <t>VIGIA DIURNO COM ENCARGOS COMPLEMENTARES</t>
  </si>
  <si>
    <t>12,12</t>
  </si>
  <si>
    <t xml:space="preserve"> SDC04027 </t>
  </si>
  <si>
    <t>298,58</t>
  </si>
  <si>
    <t xml:space="preserve"> 88309 </t>
  </si>
  <si>
    <t>PEDREIRO COM ENCARGOS COMPLEMENTARES</t>
  </si>
  <si>
    <t>0,6</t>
  </si>
  <si>
    <t>17,09</t>
  </si>
  <si>
    <t xml:space="preserve"> 88316 </t>
  </si>
  <si>
    <t>SERVENTE COM ENCARGOS COMPLEMENTARES</t>
  </si>
  <si>
    <t>13,89</t>
  </si>
  <si>
    <t>Insumo da Composição</t>
  </si>
  <si>
    <t xml:space="preserve"> 00000190 </t>
  </si>
  <si>
    <t>Material</t>
  </si>
  <si>
    <t>280,00</t>
  </si>
  <si>
    <t xml:space="preserve"> SDC05002 </t>
  </si>
  <si>
    <t>CANT - CANTEIRO DE OBRAS</t>
  </si>
  <si>
    <t>584,73</t>
  </si>
  <si>
    <t xml:space="preserve"> 00010777 </t>
  </si>
  <si>
    <t>LOCACAO DE CONTAINER 2,30 X 4,30 M, ALT. 2,50 M, PARA SANITARIO, COM 3 BACIAS, 4 CHUVEIROS, 1 LAVATORIO E 1 MICTORIO</t>
  </si>
  <si>
    <t>Equipamento</t>
  </si>
  <si>
    <t xml:space="preserve"> SDC05004 </t>
  </si>
  <si>
    <t>1.421,85</t>
  </si>
  <si>
    <t xml:space="preserve"> 88248 </t>
  </si>
  <si>
    <t>AUXILIAR DE ENCANADOR OU BOMBEIRO HIDRÁULICO COM ENCARGOS COMPLEMENTARES</t>
  </si>
  <si>
    <t>4,0</t>
  </si>
  <si>
    <t>14,26</t>
  </si>
  <si>
    <t xml:space="preserve"> 88267 </t>
  </si>
  <si>
    <t>ENCANADOR OU BOMBEIRO HIDRÁULICO COM ENCARGOS COMPLEMENTARES</t>
  </si>
  <si>
    <t>8,0</t>
  </si>
  <si>
    <t>17,49</t>
  </si>
  <si>
    <t>8,12</t>
  </si>
  <si>
    <t xml:space="preserve"> 88262 </t>
  </si>
  <si>
    <t>CARPINTEIRO DE FORMAS COM ENCARGOS COMPLEMENTARES</t>
  </si>
  <si>
    <t>17,00</t>
  </si>
  <si>
    <t xml:space="preserve"> 00020247 </t>
  </si>
  <si>
    <t>PREGO DE ACO POLIDO COM CABECA 15 X 15 (1 1/4 X 13)</t>
  </si>
  <si>
    <t>9,05</t>
  </si>
  <si>
    <t xml:space="preserve"> 00009836 </t>
  </si>
  <si>
    <t>TUBO PVC  SERIE NORMAL, DN 100 MM, PARA ESGOTO  PREDIAL (NBR 5688)</t>
  </si>
  <si>
    <t>5,0</t>
  </si>
  <si>
    <t>8,30</t>
  </si>
  <si>
    <t xml:space="preserve"> 00000370 </t>
  </si>
  <si>
    <t>AREIA MEDIA - POSTO JAZIDA/FORNECEDOR (RETIRADO NA JAZIDA, SEM TRANSPORTE)</t>
  </si>
  <si>
    <t>0,0189</t>
  </si>
  <si>
    <t>60,00</t>
  </si>
  <si>
    <t xml:space="preserve"> 00012774 </t>
  </si>
  <si>
    <t>HIDROMETRO UNIJATO, VAZAO MAXIMA DE 5,0 M3/H, DE 3/4"</t>
  </si>
  <si>
    <t>113,95</t>
  </si>
  <si>
    <t xml:space="preserve"> 00006189 </t>
  </si>
  <si>
    <t>TABUA MADEIRA 2A QUALIDADE 2,5 X 30,0CM (1 X 12") NAO APARELHADA</t>
  </si>
  <si>
    <t>5,91</t>
  </si>
  <si>
    <t xml:space="preserve"> 00009868 </t>
  </si>
  <si>
    <t>TUBO PVC, SOLDAVEL, DN 25 MM, AGUA FRIA (NBR-5648)</t>
  </si>
  <si>
    <t>30,0</t>
  </si>
  <si>
    <t>3,04</t>
  </si>
  <si>
    <t xml:space="preserve"> 00004425 </t>
  </si>
  <si>
    <t>VIGA DE MADEIRA NAO APARELHADA 6 X 12 CM, MACARANDUBA, ANGELIM OU EQUIVALENTE DA REGIAO</t>
  </si>
  <si>
    <t>25,0</t>
  </si>
  <si>
    <t>9,70</t>
  </si>
  <si>
    <t xml:space="preserve"> 00007258 </t>
  </si>
  <si>
    <t>TIJOLO CERAMICO MACICO *5 X 10 X 20* CM</t>
  </si>
  <si>
    <t>0,31</t>
  </si>
  <si>
    <t xml:space="preserve"> 00034636 </t>
  </si>
  <si>
    <t>CAIXA D'AGUA EM POLIETILENO 1000 LITROS, COM TAMPA</t>
  </si>
  <si>
    <t>283,48</t>
  </si>
  <si>
    <t xml:space="preserve"> SDC04064 </t>
  </si>
  <si>
    <t>1,06</t>
  </si>
  <si>
    <t xml:space="preserve"> 90773 </t>
  </si>
  <si>
    <t>DESENHISTA COPISTA COM ENCARGOS COMPLEMENTARES</t>
  </si>
  <si>
    <t>0,058</t>
  </si>
  <si>
    <t>18,41</t>
  </si>
  <si>
    <t xml:space="preserve"> 88323 </t>
  </si>
  <si>
    <t>TELHADISTA COM ENCARGOS COMPLEMENTARES</t>
  </si>
  <si>
    <t>0,025</t>
  </si>
  <si>
    <t>15,31</t>
  </si>
  <si>
    <t>0,25</t>
  </si>
  <si>
    <t>10,91</t>
  </si>
  <si>
    <t>0,7</t>
  </si>
  <si>
    <t>0,07</t>
  </si>
  <si>
    <t>0,14</t>
  </si>
  <si>
    <t>0,4</t>
  </si>
  <si>
    <t>0,04</t>
  </si>
  <si>
    <t>PISO - PISOS</t>
  </si>
  <si>
    <t>1,86</t>
  </si>
  <si>
    <t>0,12</t>
  </si>
  <si>
    <t>REVE - REVESTIMENTO E TRATAMENTO DE SUPERFÍCIES</t>
  </si>
  <si>
    <t>0,1</t>
  </si>
  <si>
    <t>ESQV - ESQUADRIAS/FERRAGENS/VIDROS</t>
  </si>
  <si>
    <t xml:space="preserve"> 88317 </t>
  </si>
  <si>
    <t>SOLDADOR COM ENCARGOS COMPLEMENTARES</t>
  </si>
  <si>
    <t>0,3</t>
  </si>
  <si>
    <t>1,5</t>
  </si>
  <si>
    <t>URBA - URBANIZAÇÃO</t>
  </si>
  <si>
    <t>10,0</t>
  </si>
  <si>
    <t xml:space="preserve">  SDC01159 </t>
  </si>
  <si>
    <t>781,28</t>
  </si>
  <si>
    <t xml:space="preserve"> 74007/001 </t>
  </si>
  <si>
    <t>FORMA TABUA P/ CONCRETO EM FUNDACAO C/ REAPROVEITAMENTO 10 X.</t>
  </si>
  <si>
    <t>FUES - FUNDAÇÕES E ESTRUTURAS</t>
  </si>
  <si>
    <t>0,064</t>
  </si>
  <si>
    <t>21,62</t>
  </si>
  <si>
    <t xml:space="preserve"> 83534 </t>
  </si>
  <si>
    <t>LASTRO DE CONCRETO, PREPARO MECÂNICO, INCLUSOS ADITIVO IMPERMEABILIZANTE, LANÇAMENTO E ADENSAMENTO</t>
  </si>
  <si>
    <t>0,08</t>
  </si>
  <si>
    <t>456,75</t>
  </si>
  <si>
    <t xml:space="preserve"> 94975 </t>
  </si>
  <si>
    <t>CONCRETO FCK = 15MPA, TRAÇO 1:3,4:3,5 (CIMENTO/ AREIA MÉDIA/ BRITA 1)  - PREPARO MANUAL. AF_07/2016</t>
  </si>
  <si>
    <t>0,0184</t>
  </si>
  <si>
    <t>349,12</t>
  </si>
  <si>
    <t xml:space="preserve"> 92917 </t>
  </si>
  <si>
    <t>10,38</t>
  </si>
  <si>
    <t xml:space="preserve"> 87515 </t>
  </si>
  <si>
    <t>ALVENARIA DE VEDAÇÃO DE BLOCOS CERÂMICOS FURADOS NA HORIZONTAL DE 9X14X19CM (ESPESSURA 9CM) DE PAREDES COM ÁREA LÍQUIDA MENOR QUE 6M² COM VÃOS E ARGAMASSA DE ASSENTAMENTO COM PREPARO EM BETONEIRA. AF_06/2014</t>
  </si>
  <si>
    <t>PARE - PAREDES/PAINEIS</t>
  </si>
  <si>
    <t>74,85</t>
  </si>
  <si>
    <t xml:space="preserve"> 89173 </t>
  </si>
  <si>
    <t>0,8</t>
  </si>
  <si>
    <t>23,25</t>
  </si>
  <si>
    <t xml:space="preserve"> 93358 </t>
  </si>
  <si>
    <t>MOVT - MOVIMENTO DE TERRA</t>
  </si>
  <si>
    <t>54,94</t>
  </si>
  <si>
    <t xml:space="preserve"> 87904 </t>
  </si>
  <si>
    <t>CHAPISCO APLICADO EM ALVENARIA (COM PRESENÇA DE VÃOS) E ESTRUTURAS DE CONCRETO DE FACHADA, COM COLHER DE PEDREIRO.  ARGAMASSA TRAÇO 1:3 COM PREPARO MANUAL. AF_06/2014</t>
  </si>
  <si>
    <t>6,02</t>
  </si>
  <si>
    <t xml:space="preserve"> 73932/001 </t>
  </si>
  <si>
    <t>1,8</t>
  </si>
  <si>
    <t>298,51</t>
  </si>
  <si>
    <t>0,48</t>
  </si>
  <si>
    <t xml:space="preserve"> 88485 </t>
  </si>
  <si>
    <t>PINT - PINTURAS</t>
  </si>
  <si>
    <t>0,95</t>
  </si>
  <si>
    <t>1,49</t>
  </si>
  <si>
    <t xml:space="preserve"> 88489 </t>
  </si>
  <si>
    <t>9,78</t>
  </si>
  <si>
    <t xml:space="preserve"> 74064/002 </t>
  </si>
  <si>
    <t>FUNDO ANTICORROSIVO A BASE DE OXIDO DE FERRO (ZARCAO), UMA DEMAO</t>
  </si>
  <si>
    <t>3,6</t>
  </si>
  <si>
    <t>10,14</t>
  </si>
  <si>
    <t xml:space="preserve"> 73924/003 </t>
  </si>
  <si>
    <t>21,20</t>
  </si>
  <si>
    <t>0,0036</t>
  </si>
  <si>
    <t xml:space="preserve"> 00001379 </t>
  </si>
  <si>
    <t>CIMENTO PORTLAND COMPOSTO CP II-32</t>
  </si>
  <si>
    <t>1,12</t>
  </si>
  <si>
    <t>0,47</t>
  </si>
  <si>
    <t>0,11</t>
  </si>
  <si>
    <t xml:space="preserve"> 92873 </t>
  </si>
  <si>
    <t>LANÇAMENTO COM USO DE BALDES, ADENSAMENTO E ACABAMENTO DE CONCRETO EM ESTRUTURAS. AF_12/2015</t>
  </si>
  <si>
    <t>141,11</t>
  </si>
  <si>
    <t xml:space="preserve"> SDC01024 </t>
  </si>
  <si>
    <t>85,71</t>
  </si>
  <si>
    <t>2,0</t>
  </si>
  <si>
    <t xml:space="preserve"> 00004718 </t>
  </si>
  <si>
    <t>PEDRA BRITADA N. 2 (19 A 38 MM) POSTO PEDREIRA/FORNECEDOR, SEM FRETE</t>
  </si>
  <si>
    <t>1,2</t>
  </si>
  <si>
    <t>48,28</t>
  </si>
  <si>
    <t xml:space="preserve"> SDC01002 </t>
  </si>
  <si>
    <t>312,54</t>
  </si>
  <si>
    <t xml:space="preserve"> 00034493 </t>
  </si>
  <si>
    <t xml:space="preserve"> SDC01035 </t>
  </si>
  <si>
    <t>21,86</t>
  </si>
  <si>
    <t xml:space="preserve"> 88245 </t>
  </si>
  <si>
    <t>ARMADOR COM ENCARGOS COMPLEMENTARES</t>
  </si>
  <si>
    <t>0,03</t>
  </si>
  <si>
    <t>0,06</t>
  </si>
  <si>
    <t xml:space="preserve"> 00000337 </t>
  </si>
  <si>
    <t>ARAME RECOZIDO 18 BWG, 1,25 MM (0,01 KG/M)</t>
  </si>
  <si>
    <t>0,015</t>
  </si>
  <si>
    <t>8,43</t>
  </si>
  <si>
    <t xml:space="preserve"> 00007156 </t>
  </si>
  <si>
    <t>TELA DE ACO SOLDADA NERVURADA, CA-60, Q-196, (3,11 KG/M2), DIAMETRO DO FIO = 5,0 MM, LARGURA =  2,45 M, ESPACAMENTO DA MALHA = 10 X 10 CM</t>
  </si>
  <si>
    <t>1,03</t>
  </si>
  <si>
    <t>19,81</t>
  </si>
  <si>
    <t xml:space="preserve"> SDC01017 </t>
  </si>
  <si>
    <t>7,39</t>
  </si>
  <si>
    <t xml:space="preserve"> 88315 </t>
  </si>
  <si>
    <t>SERRALHEIRO COM ENCARGOS COMPLEMENTARES</t>
  </si>
  <si>
    <t>0,02</t>
  </si>
  <si>
    <t>16,31</t>
  </si>
  <si>
    <t xml:space="preserve"> 88251 </t>
  </si>
  <si>
    <t>AUXILIAR DE SERRALHEIRO COM ENCARGOS COMPLEMENTARES</t>
  </si>
  <si>
    <t>13,42</t>
  </si>
  <si>
    <t xml:space="preserve"> 88310 </t>
  </si>
  <si>
    <t>PINTOR COM ENCARGOS COMPLEMENTARES</t>
  </si>
  <si>
    <t>0,003</t>
  </si>
  <si>
    <t>17,03</t>
  </si>
  <si>
    <t xml:space="preserve"> 88240 </t>
  </si>
  <si>
    <t>AJUDANTE DE ESTRUTURA METÁLICA COM ENCARGOS COMPLEMENTARES</t>
  </si>
  <si>
    <t>8,81</t>
  </si>
  <si>
    <t xml:space="preserve"> 00000179 </t>
  </si>
  <si>
    <t>0,525</t>
  </si>
  <si>
    <t>4,88</t>
  </si>
  <si>
    <t xml:space="preserve"> 00000549 </t>
  </si>
  <si>
    <t>BARRA DE FERRO RETANGULAR, BARRA CHATA, 2" X 1/2" (L X E), 5,06 KG/M</t>
  </si>
  <si>
    <t>0,1037</t>
  </si>
  <si>
    <t>28,38</t>
  </si>
  <si>
    <t xml:space="preserve"> 00007307 </t>
  </si>
  <si>
    <t>FUNDO ANTICORROSIVO PARA METAIS FERROSOS (ZARCAO)</t>
  </si>
  <si>
    <t>0,0025</t>
  </si>
  <si>
    <t>18,93</t>
  </si>
  <si>
    <t xml:space="preserve"> 00010997 </t>
  </si>
  <si>
    <t>ELETRODO REVESTIDO AWS - E7018, DIAMETRO IGUAL A 4,00 MM</t>
  </si>
  <si>
    <t>0,013</t>
  </si>
  <si>
    <t>12,04</t>
  </si>
  <si>
    <t xml:space="preserve"> 00005318 </t>
  </si>
  <si>
    <t>SOLVENTE DILUENTE A BASE DE AGUARRAS</t>
  </si>
  <si>
    <t>0,0003</t>
  </si>
  <si>
    <t>11,44</t>
  </si>
  <si>
    <t xml:space="preserve"> SDC01018 </t>
  </si>
  <si>
    <t>2,12</t>
  </si>
  <si>
    <t xml:space="preserve"> 88278 </t>
  </si>
  <si>
    <t>MONTADOR DE ESTRUTURA METÁLICA COM ENCARGOS COMPLEMENTARES</t>
  </si>
  <si>
    <t>11,25</t>
  </si>
  <si>
    <t xml:space="preserve"> 89272 </t>
  </si>
  <si>
    <t>GUINDASTE HIDRÁULICO AUTOPROPELIDO, COM LANÇA TELESCÓPICA 28,80 M, CAPACIDADE MÁXIMA 30 T, POTÊNCIA 97 KW, TRAÇÃO 4 X 4 - CHP DIURNO. AF_11/2014</t>
  </si>
  <si>
    <t>CHOR - CUSTOS HORÁRIOS DE MÁQUINAS E EQUIPAMENTOS</t>
  </si>
  <si>
    <t>CHP</t>
  </si>
  <si>
    <t>0,01</t>
  </si>
  <si>
    <t>138,79</t>
  </si>
  <si>
    <t>COBE - COBERTURA</t>
  </si>
  <si>
    <t>0,35</t>
  </si>
  <si>
    <t>0,60</t>
  </si>
  <si>
    <t>1,1</t>
  </si>
  <si>
    <t xml:space="preserve"> SDC01031 </t>
  </si>
  <si>
    <t>1.581,31</t>
  </si>
  <si>
    <t>3,78</t>
  </si>
  <si>
    <t xml:space="preserve"> 88629 </t>
  </si>
  <si>
    <t>ARGAMASSA TRAÇO 1:3 (CIMENTO E AREIA MÉDIA), PREPARO MANUAL. AF_08/2014</t>
  </si>
  <si>
    <t>0,09</t>
  </si>
  <si>
    <t>394,28</t>
  </si>
  <si>
    <t xml:space="preserve"> 72118 </t>
  </si>
  <si>
    <t>VIDRO TEMPERADO INCOLOR, ESPESSURA 6MM, FORNECIMENTO E INSTALACAO, INCLUSIVE MASSA PARA VEDACAO</t>
  </si>
  <si>
    <t>0,56</t>
  </si>
  <si>
    <t>140,60</t>
  </si>
  <si>
    <t xml:space="preserve"> 00000194 </t>
  </si>
  <si>
    <t>1.350,00</t>
  </si>
  <si>
    <t xml:space="preserve"> SDC01027 </t>
  </si>
  <si>
    <t>1.198,92</t>
  </si>
  <si>
    <t>3,46</t>
  </si>
  <si>
    <t>1,73</t>
  </si>
  <si>
    <t xml:space="preserve"> 00000195 </t>
  </si>
  <si>
    <t>1.100,00</t>
  </si>
  <si>
    <t xml:space="preserve"> SDC01028 </t>
  </si>
  <si>
    <t>1.125,63</t>
  </si>
  <si>
    <t>3,36</t>
  </si>
  <si>
    <t xml:space="preserve"> 00000193 </t>
  </si>
  <si>
    <t>990,00</t>
  </si>
  <si>
    <t>30,64</t>
  </si>
  <si>
    <t>0,61</t>
  </si>
  <si>
    <t xml:space="preserve"> SDC01116 </t>
  </si>
  <si>
    <t>482,88</t>
  </si>
  <si>
    <t xml:space="preserve"> 00000367 </t>
  </si>
  <si>
    <t>AREIA GROSSA - POSTO JAZIDA/FORNECEDOR (RETIRADO NA JAZIDA, SEM TRANSPORTE)</t>
  </si>
  <si>
    <t>0,061</t>
  </si>
  <si>
    <t>50,00</t>
  </si>
  <si>
    <t>4,83</t>
  </si>
  <si>
    <t xml:space="preserve"> 00037562 </t>
  </si>
  <si>
    <t>PORTAO DE CORRER EM GRADIL FIXO DE BARRA DE FERRO CHATA DE 3 X 1/4" NA VERTICAL, SEM REQUADRO, ACABAMENTO NATURAL, COM TRILHOS E ROLDANAS</t>
  </si>
  <si>
    <t>431,10</t>
  </si>
  <si>
    <t xml:space="preserve"> 88256 </t>
  </si>
  <si>
    <t>AZULEJISTA OU LADRILHISTA COM ENCARGOS COMPLEMENTARES</t>
  </si>
  <si>
    <t>1,29</t>
  </si>
  <si>
    <t>15,90</t>
  </si>
  <si>
    <t>0,65</t>
  </si>
  <si>
    <t xml:space="preserve"> 00036881 </t>
  </si>
  <si>
    <t>PASTILHA CERAMICA/PORCELANA, REVEST INT/EXT E  PISCINA, CORES FRIAS *5 X 5* CM</t>
  </si>
  <si>
    <t>1,16</t>
  </si>
  <si>
    <t>96,09</t>
  </si>
  <si>
    <t xml:space="preserve"> 00037596 </t>
  </si>
  <si>
    <t>ARGAMASSA COLANTE TIPO ACIII E</t>
  </si>
  <si>
    <t>7,69</t>
  </si>
  <si>
    <t>3,44</t>
  </si>
  <si>
    <t>0,3333</t>
  </si>
  <si>
    <t xml:space="preserve"> SDC01025 </t>
  </si>
  <si>
    <t>167,44</t>
  </si>
  <si>
    <t xml:space="preserve"> 00003767 </t>
  </si>
  <si>
    <t>LIXA EM FOLHA PARA PAREDE OU MADEIRA, NUMERO 120 (COR VERMELHA)</t>
  </si>
  <si>
    <t xml:space="preserve"> SDC01045 </t>
  </si>
  <si>
    <t>12,88</t>
  </si>
  <si>
    <t xml:space="preserve"> 00004052 </t>
  </si>
  <si>
    <t>MASSA ACRILICA</t>
  </si>
  <si>
    <t>18L</t>
  </si>
  <si>
    <t>0,028</t>
  </si>
  <si>
    <t>116,54</t>
  </si>
  <si>
    <t>INES - INSTALAÇÕES ESPECIAIS</t>
  </si>
  <si>
    <t xml:space="preserve"> 00000342 </t>
  </si>
  <si>
    <t>ARAME GALVANIZADO 12 BWG, 2,76 MM (0,048 KG/M)</t>
  </si>
  <si>
    <t>0,05</t>
  </si>
  <si>
    <t>13,08</t>
  </si>
  <si>
    <t>1,05</t>
  </si>
  <si>
    <t xml:space="preserve"> SDC04034 </t>
  </si>
  <si>
    <t>2.250,00</t>
  </si>
  <si>
    <t xml:space="preserve"> 00000189 </t>
  </si>
  <si>
    <t>PLACA EM ACM, PARA LOGO DO GOVERNO, DIM. 2,50X2,50M COM CHAPA GALVANIZADA COM BRASÃO DO ESTADO ADESIVADA</t>
  </si>
  <si>
    <t xml:space="preserve"> SDC04019 </t>
  </si>
  <si>
    <t>1.261,69</t>
  </si>
  <si>
    <t xml:space="preserve"> 00025400 </t>
  </si>
  <si>
    <t xml:space="preserve"> SDC04018 </t>
  </si>
  <si>
    <t>2.518,77</t>
  </si>
  <si>
    <t xml:space="preserve"> 88242 </t>
  </si>
  <si>
    <t>AJUDANTE DE PEDREIRO COM ENCARGOS COMPLEMENTARES</t>
  </si>
  <si>
    <t>22,684</t>
  </si>
  <si>
    <t>13,65</t>
  </si>
  <si>
    <t>10,044</t>
  </si>
  <si>
    <t>12,64</t>
  </si>
  <si>
    <t>6,5</t>
  </si>
  <si>
    <t>18,2</t>
  </si>
  <si>
    <t xml:space="preserve"> 89225 </t>
  </si>
  <si>
    <t>BETONEIRA CAPACIDADE NOMINAL DE 600 L, CAPACIDADE DE MISTURA 360 L, MOTOR ELÉTRICO TRIFÁSICO POTÊNCIA DE 4 CV, SEM CARREGADOR - CHP DIURNO. AF_11/2014</t>
  </si>
  <si>
    <t>0,9282</t>
  </si>
  <si>
    <t>3,49</t>
  </si>
  <si>
    <t>0,8089</t>
  </si>
  <si>
    <t>442,26</t>
  </si>
  <si>
    <t xml:space="preserve"> 00004721 </t>
  </si>
  <si>
    <t>PEDRA BRITADA N. 1 (9,5 a 19 MM) POSTO PEDREIRA/FORNECEDOR, SEM FRETE</t>
  </si>
  <si>
    <t>0,3419</t>
  </si>
  <si>
    <t>0,7995</t>
  </si>
  <si>
    <t xml:space="preserve"> 00004491 </t>
  </si>
  <si>
    <t>PECA DE MADEIRA NATIVA / REGIONAL 7,5 X 7,5CM (3X3) NAO APARELHADA (P/FORMA)</t>
  </si>
  <si>
    <t>8,928</t>
  </si>
  <si>
    <t>4,32</t>
  </si>
  <si>
    <t xml:space="preserve"> 00004460 </t>
  </si>
  <si>
    <t>SARRAFO DE MADEIRA NAO APARELHADA *2,5 X 10 CM, MACARANDUBA, ANGELIM OU EQUIVALENTE DA REGIAO</t>
  </si>
  <si>
    <t>11,3832</t>
  </si>
  <si>
    <t>4,58</t>
  </si>
  <si>
    <t xml:space="preserve"> 00003992 </t>
  </si>
  <si>
    <t>TABUA DE MADEIRA APARELHADA *2,5 X 30* CM, MACARANDUBA, ANGELIM OU EQUIVALENTE DA REGIAO</t>
  </si>
  <si>
    <t>2,6114</t>
  </si>
  <si>
    <t>9,00</t>
  </si>
  <si>
    <t xml:space="preserve"> 00001347 </t>
  </si>
  <si>
    <t>CHAPA DE MADEIRA COMPENSADA PLASTIFICADA PARA FORMA DE CONCRETO, DE 2,20 X 1,10 M, E = 12 MM</t>
  </si>
  <si>
    <t>1,9344</t>
  </si>
  <si>
    <t>26,56</t>
  </si>
  <si>
    <t xml:space="preserve"> 00000033 </t>
  </si>
  <si>
    <t>ACO CA-50, 8,0 MM, VERGALHAO</t>
  </si>
  <si>
    <t>181,7</t>
  </si>
  <si>
    <t>5,00</t>
  </si>
  <si>
    <t xml:space="preserve"> 00005061 </t>
  </si>
  <si>
    <t>PREGO DE ACO POLIDO COM CABECA 18 X 27 (2 1/2 X 10)</t>
  </si>
  <si>
    <t>8,04</t>
  </si>
  <si>
    <t xml:space="preserve"> 00000345 </t>
  </si>
  <si>
    <t>ARAME GALVANIZADO 18 BWG, 1,24MM (0,009 KG/M)</t>
  </si>
  <si>
    <t>3,16</t>
  </si>
  <si>
    <t>17,70</t>
  </si>
  <si>
    <t xml:space="preserve"> SDC04016 </t>
  </si>
  <si>
    <t>2.494,72</t>
  </si>
  <si>
    <t xml:space="preserve"> 00025398 </t>
  </si>
  <si>
    <t>CONJUNTO PARA FUTSAL COM TRAVES OFICIAIS DE 3,00 X 2,00 M EM TUBO DE ACO GALVANIZADO 3" COM REQUADRO EM TUBO DE 1", PINTURA EM PRIMER COM TINTA ESMALTE SINTETICO E REDES DE POLIETILENO FIO 4 MM</t>
  </si>
  <si>
    <t xml:space="preserve"> SDC04017 </t>
  </si>
  <si>
    <t>1.514,51</t>
  </si>
  <si>
    <t xml:space="preserve"> 00025399 </t>
  </si>
  <si>
    <t>CONJUNTO PARA QUADRA DE  VOLEI COM POSTES EM TUBO DE ACO GALVANIZADO 3", H = *255* CM, PINTURA EM TINTA ESMALTE SINTETICO, REDE DE NYLON COM 2 MM, MALHA 10 X 10 CM E ANTENAS OFICIAIS EM FIBRA DE VIDRO</t>
  </si>
  <si>
    <t>8,05</t>
  </si>
  <si>
    <t>0,2</t>
  </si>
  <si>
    <t>2,64</t>
  </si>
  <si>
    <t xml:space="preserve"> SDC01108 </t>
  </si>
  <si>
    <t>14,20</t>
  </si>
  <si>
    <t xml:space="preserve"> 00000232 </t>
  </si>
  <si>
    <t>0,17</t>
  </si>
  <si>
    <t>28,06</t>
  </si>
  <si>
    <t xml:space="preserve"> SDC01199 </t>
  </si>
  <si>
    <t>13,62</t>
  </si>
  <si>
    <t xml:space="preserve"> 00000215 </t>
  </si>
  <si>
    <t>TINTA ACRILICO FOSCO PANTONE 3125U</t>
  </si>
  <si>
    <t>24,69</t>
  </si>
  <si>
    <t>0,33</t>
  </si>
  <si>
    <t xml:space="preserve"> 00003768 </t>
  </si>
  <si>
    <t>LIXA EM FOLHA PARA FERRO, NUMERO 150</t>
  </si>
  <si>
    <t>2,75</t>
  </si>
  <si>
    <t xml:space="preserve"> 00000217 </t>
  </si>
  <si>
    <t>0,18</t>
  </si>
  <si>
    <t>37,13</t>
  </si>
  <si>
    <t>0,032</t>
  </si>
  <si>
    <t xml:space="preserve"> SDC01034 </t>
  </si>
  <si>
    <t>38,56</t>
  </si>
  <si>
    <t>0,096</t>
  </si>
  <si>
    <t>0,091</t>
  </si>
  <si>
    <t xml:space="preserve"> 93287 </t>
  </si>
  <si>
    <t>GUINDASTE HIDRÁULICO AUTOPROPELIDO, COM LANÇA TELESCÓPICA 40 M, CAPACIDADE MÁXIMA 60 T, POTÊNCIA 260 KW - CHP DIURNO. AF_03/2016</t>
  </si>
  <si>
    <t>0,0007</t>
  </si>
  <si>
    <t>274,78</t>
  </si>
  <si>
    <t xml:space="preserve"> 93288 </t>
  </si>
  <si>
    <t>GUINDASTE HIDRÁULICO AUTOPROPELIDO, COM LANÇA TELESCÓPICA 40 M, CAPACIDADE MÁXIMA 60 T, POTÊNCIA 260 KW - CHI DIURNO. AF_03/2016</t>
  </si>
  <si>
    <t>CHI</t>
  </si>
  <si>
    <t>0,001</t>
  </si>
  <si>
    <t>75,35</t>
  </si>
  <si>
    <t xml:space="preserve"> 00025007 </t>
  </si>
  <si>
    <t>TELHA DE ACO ZINCADO ONDULADA, A = *17* MM, E = 0,5 MM, SEM PINTURA</t>
  </si>
  <si>
    <t>26,96</t>
  </si>
  <si>
    <t xml:space="preserve"> 00011029 </t>
  </si>
  <si>
    <t>HASTE RETA PARA GANCHO DE FERRO GALVANIZADO, COM ROSCA 1/4 " X 30 CM PARA FIXACAO DE TELHA METALICA, INCLUI PORCA E ARRUELAS DE VEDACAO</t>
  </si>
  <si>
    <t>4,15</t>
  </si>
  <si>
    <t>1,04</t>
  </si>
  <si>
    <t xml:space="preserve"> SDC04010 </t>
  </si>
  <si>
    <t>171,55</t>
  </si>
  <si>
    <t>1,6</t>
  </si>
  <si>
    <t>1,25</t>
  </si>
  <si>
    <t xml:space="preserve"> 00001106 </t>
  </si>
  <si>
    <t>CAL HIDRATADA CH-I PARA ARGAMASSAS</t>
  </si>
  <si>
    <t>2,73</t>
  </si>
  <si>
    <t>0,51</t>
  </si>
  <si>
    <t>0,0182</t>
  </si>
  <si>
    <t>2,8</t>
  </si>
  <si>
    <t xml:space="preserve"> 00000185 </t>
  </si>
  <si>
    <t>17,6</t>
  </si>
  <si>
    <t>7,10</t>
  </si>
  <si>
    <t xml:space="preserve"> SDC04005 </t>
  </si>
  <si>
    <t>152,00</t>
  </si>
  <si>
    <t xml:space="preserve"> 00038181 </t>
  </si>
  <si>
    <t>PISO TATIL ALERTA OU DIRECIONAL, DE BORRACHA, COLORIDO, 25 X 25 CM, E = 5 MM, PARA COLA</t>
  </si>
  <si>
    <t>141,91</t>
  </si>
  <si>
    <t xml:space="preserve"> 00004791 </t>
  </si>
  <si>
    <t>ADESIVO ACRILICO/COLA DE CONTATO</t>
  </si>
  <si>
    <t>0,37</t>
  </si>
  <si>
    <t>13,07</t>
  </si>
  <si>
    <t xml:space="preserve"> SDC04052 </t>
  </si>
  <si>
    <t>9,90</t>
  </si>
  <si>
    <t xml:space="preserve"> 00000191 </t>
  </si>
  <si>
    <t xml:space="preserve"> SDC04060 </t>
  </si>
  <si>
    <t>3.545,00</t>
  </si>
  <si>
    <t xml:space="preserve"> 00000168 </t>
  </si>
  <si>
    <t xml:space="preserve"> SDC04031 </t>
  </si>
  <si>
    <t>145,43</t>
  </si>
  <si>
    <t>0,5</t>
  </si>
  <si>
    <t xml:space="preserve"> 00000075 </t>
  </si>
  <si>
    <t>129,95</t>
  </si>
  <si>
    <t xml:space="preserve"> SDC04012 </t>
  </si>
  <si>
    <t>1.500,00</t>
  </si>
  <si>
    <t xml:space="preserve"> 00000148 </t>
  </si>
  <si>
    <t>QUADRO DE VIDRO TEMPERADO 6MM 4X1,1M</t>
  </si>
  <si>
    <t xml:space="preserve"> SDC04011 </t>
  </si>
  <si>
    <t>1.931,64</t>
  </si>
  <si>
    <t xml:space="preserve"> 88239 </t>
  </si>
  <si>
    <t>AJUDANTE DE CARPINTEIRO COM ENCARGOS COMPLEMENTARES</t>
  </si>
  <si>
    <t>3,5</t>
  </si>
  <si>
    <t>13,93</t>
  </si>
  <si>
    <t xml:space="preserve"> 88243 </t>
  </si>
  <si>
    <t>AJUDANTE ESPECIALIZADO COM ENCARGOS COMPLEMENTARES</t>
  </si>
  <si>
    <t>14,62</t>
  </si>
  <si>
    <t>2,34</t>
  </si>
  <si>
    <t xml:space="preserve"> 88238 </t>
  </si>
  <si>
    <t>AJUDANTE DE ARMADOR COM ENCARGOS COMPLEMENTARES</t>
  </si>
  <si>
    <t>13,91</t>
  </si>
  <si>
    <t>1,91</t>
  </si>
  <si>
    <t>12,5</t>
  </si>
  <si>
    <t>7,28</t>
  </si>
  <si>
    <t>3,3</t>
  </si>
  <si>
    <t xml:space="preserve"> 00000034 </t>
  </si>
  <si>
    <t>ACO CA-50, 10,0 MM, VERGALHAO</t>
  </si>
  <si>
    <t>33,5</t>
  </si>
  <si>
    <t>4,26</t>
  </si>
  <si>
    <t>2,25</t>
  </si>
  <si>
    <t xml:space="preserve"> 00021015 </t>
  </si>
  <si>
    <t>TUBO ACO GALVANIZADO COM COSTURA, CLASSE LEVE, DN 80 MM ( 3"),  E = 3,35 MM, *7,32* KG/M (NBR 5580)</t>
  </si>
  <si>
    <t>10,5</t>
  </si>
  <si>
    <t>53,72</t>
  </si>
  <si>
    <t>0,85</t>
  </si>
  <si>
    <t>0,45</t>
  </si>
  <si>
    <t xml:space="preserve"> 00002692 </t>
  </si>
  <si>
    <t>DESMOLDANTE PROTETOR PARA FORMAS DE MADEIRA, DE BASE OLEOSA EMULSIONADA EM AGUA</t>
  </si>
  <si>
    <t>6,03</t>
  </si>
  <si>
    <t xml:space="preserve"> 00013284 </t>
  </si>
  <si>
    <t>CIMENTO PORTLAND DE ALTO FORNO (AF) CP III-32</t>
  </si>
  <si>
    <t>112,0</t>
  </si>
  <si>
    <t>0,40</t>
  </si>
  <si>
    <t>0,16</t>
  </si>
  <si>
    <t>2,1</t>
  </si>
  <si>
    <t xml:space="preserve"> 00007288 </t>
  </si>
  <si>
    <t>TINTA ESMALTE SINTETICO PREMIUM FOSCO</t>
  </si>
  <si>
    <t>20,66</t>
  </si>
  <si>
    <t xml:space="preserve"> 00004720 </t>
  </si>
  <si>
    <t>PEDRA BRITADA N. 0, OU PEDRISCO (4,8 A 9,5 MM) POSTO PEDREIRA/FORNECEDOR, SEM FRETE</t>
  </si>
  <si>
    <t>0,38</t>
  </si>
  <si>
    <t>61,64</t>
  </si>
  <si>
    <t xml:space="preserve"> 00007701 </t>
  </si>
  <si>
    <t>TUBO ACO GALVANIZADO COM COSTURA, CLASSE MEDIA, DN 2.1/2", E = *3,65* MM, PESO *6,51* KG/M (NBR 5580)</t>
  </si>
  <si>
    <t>11,0</t>
  </si>
  <si>
    <t>45,87</t>
  </si>
  <si>
    <t>0,59</t>
  </si>
  <si>
    <t xml:space="preserve"> SDC04015 </t>
  </si>
  <si>
    <t>3.800,00</t>
  </si>
  <si>
    <t xml:space="preserve"> 00000144 </t>
  </si>
  <si>
    <t>TOTEM EM CONCRETO ARMADO DE ACORDO COM MODELO DA SEDUC, DIMENSÕES 260X110X15CM, INCLUSIVE PLACA EM AÇO INOX</t>
  </si>
  <si>
    <t xml:space="preserve"> SDC04050 </t>
  </si>
  <si>
    <t>INHI - INSTALAÇÕES HIDROS SANITÁRIAS</t>
  </si>
  <si>
    <t>490,28</t>
  </si>
  <si>
    <t>1,14</t>
  </si>
  <si>
    <t xml:space="preserve"> 00000592 </t>
  </si>
  <si>
    <t>CANTONEIRA ALUMINIO ABAS IGUAIS 1 ", E = 1/8 ", 25,40 X 3,17 MM (0,408 KG/M)</t>
  </si>
  <si>
    <t>0,2448</t>
  </si>
  <si>
    <t>34,12</t>
  </si>
  <si>
    <t xml:space="preserve"> 00000214 </t>
  </si>
  <si>
    <t>455,00</t>
  </si>
  <si>
    <t xml:space="preserve"> SDC04009 </t>
  </si>
  <si>
    <t>238,90</t>
  </si>
  <si>
    <t xml:space="preserve"> 00036081 </t>
  </si>
  <si>
    <t>BARRA DE APOIO RETA, EM ACO INOX POLIDO, COMPRIMENTO 80CM, DIAMETRO MINIMO 3 CM</t>
  </si>
  <si>
    <t>207,92</t>
  </si>
  <si>
    <t xml:space="preserve"> SDC04033 </t>
  </si>
  <si>
    <t>180,00</t>
  </si>
  <si>
    <t xml:space="preserve"> 00000162 </t>
  </si>
  <si>
    <t>LETRA CAIXA EM CHAPA GALVANIZADA PINTADA COM TINTA AUTOMOTIVA, 30CM INSTALADO</t>
  </si>
  <si>
    <t xml:space="preserve"> SDC04025 </t>
  </si>
  <si>
    <t>290,00</t>
  </si>
  <si>
    <t xml:space="preserve"> 00000161 </t>
  </si>
  <si>
    <t>LETRA CAIXA EM AÇO GALVANIZADO, ALTURA 70CM, INSTALADO</t>
  </si>
  <si>
    <t xml:space="preserve"> SDC01089 </t>
  </si>
  <si>
    <t>568,30</t>
  </si>
  <si>
    <t xml:space="preserve"> 88274 </t>
  </si>
  <si>
    <t>MARMORISTA/GRANITEIRO COM ENCARGOS COMPLEMENTARES</t>
  </si>
  <si>
    <t>4,8</t>
  </si>
  <si>
    <t>16,30</t>
  </si>
  <si>
    <t>2,3</t>
  </si>
  <si>
    <t xml:space="preserve"> 88631 </t>
  </si>
  <si>
    <t>ARGAMASSA TRAÇO 1:4 (CIMENTO E AREIA MÉDIA), PREPARO MANUAL. AF_08/2014</t>
  </si>
  <si>
    <t>0,0033</t>
  </si>
  <si>
    <t>359,97</t>
  </si>
  <si>
    <t xml:space="preserve"> 00001380 </t>
  </si>
  <si>
    <t>CIMENTO BRANCO</t>
  </si>
  <si>
    <t>2,78</t>
  </si>
  <si>
    <t xml:space="preserve"> 00000126 </t>
  </si>
  <si>
    <t xml:space="preserve"> SDC01104 </t>
  </si>
  <si>
    <t>108,25</t>
  </si>
  <si>
    <t xml:space="preserve"> 00038125 </t>
  </si>
  <si>
    <t>FERTILIZANTE ORGANICO COMPOSTO, CLASSE A</t>
  </si>
  <si>
    <t>40,0</t>
  </si>
  <si>
    <t xml:space="preserve"> 00007253 </t>
  </si>
  <si>
    <t>TERRA VEGETAL (GRANEL)</t>
  </si>
  <si>
    <t>0,9</t>
  </si>
  <si>
    <t>70,71</t>
  </si>
  <si>
    <t xml:space="preserve"> SDC01022 </t>
  </si>
  <si>
    <t>2.523,18</t>
  </si>
  <si>
    <t>3,252</t>
  </si>
  <si>
    <t>1,626</t>
  </si>
  <si>
    <t>0,027</t>
  </si>
  <si>
    <t xml:space="preserve"> 84190 </t>
  </si>
  <si>
    <t>PISO GRANITO ASSENTADO SOBRE ARGAMASSA CIMENTO / CAL / AREIA TRACO 1:0,25:3 INCLUSIVE REJUNTE EM CIMENTO</t>
  </si>
  <si>
    <t>155,49</t>
  </si>
  <si>
    <t xml:space="preserve"> 00000157 </t>
  </si>
  <si>
    <t>2.310,00</t>
  </si>
  <si>
    <t xml:space="preserve"> SDC04002 </t>
  </si>
  <si>
    <t>4.729,72</t>
  </si>
  <si>
    <t xml:space="preserve"> 87523 </t>
  </si>
  <si>
    <t>ALVENARIA DE VEDAÇÃO DE BLOCOS CERÂMICOS FURADOS NA HORIZONTAL DE 9X14X19CM (ESPESSURA 9CM) DE PAREDES COM ÁREA LÍQUIDA MAIOR OU IGUAL A 6M² COM VÃOS E ARGAMASSA DE ASSENTAMENTO COM PREPARO EM BETONEIRA. AF_06/2014</t>
  </si>
  <si>
    <t>2,315</t>
  </si>
  <si>
    <t>59,75</t>
  </si>
  <si>
    <t xml:space="preserve"> 87242 </t>
  </si>
  <si>
    <t>REVESTIMENTO CERÂMICO PARA PAREDES EXTERNAS EM PASTILHAS DE PORCELANA 5 X 5 CM (PLACAS DE 30 X 30 CM), ALINHADAS A PRUMO, APLICADO EM PANOS COM VÃOS. AF_06/2014</t>
  </si>
  <si>
    <t>6,56</t>
  </si>
  <si>
    <t xml:space="preserve"> 87879 </t>
  </si>
  <si>
    <t>CHAPISCO APLICADO EM ALVENARIAS E ESTRUTURAS DE CONCRETO INTERNAS, COM COLHER DE PEDREIRO.  ARGAMASSA TRAÇO 1:3 COM PREPARO EM BETONEIRA 400L. AF_06/2014</t>
  </si>
  <si>
    <t>9,28</t>
  </si>
  <si>
    <t>2,58</t>
  </si>
  <si>
    <t xml:space="preserve"> 92775 </t>
  </si>
  <si>
    <t>ARMAÇÃO DE PILAR OU VIGA DE UMA ESTRUTURA CONVENCIONAL DE CONCRETO ARMADO EM UMA EDIFICAÇÃO TÉRREA OU SOBRADO UTILIZANDO AÇO CA-60 DE 5,0 MM - MONTAGEM. AF_12/2015</t>
  </si>
  <si>
    <t>1,01</t>
  </si>
  <si>
    <t>12,73</t>
  </si>
  <si>
    <t xml:space="preserve"> 87536 </t>
  </si>
  <si>
    <t>EMBOÇO, PARA RECEBIMENTO DE CERÂMICA, EM ARGAMASSA TRAÇO 1:2:8, PREPARO MANUAL, APLICADO MANUALMENTE EM FACES INTERNAS DE PAREDES, PARA AMBIENTE COM ÁREA  MAIOR QUE 10M2, ESPESSURA DE 20MM, COM EXECUÇÃO DE TALISCAS. AF_06/2014</t>
  </si>
  <si>
    <t>22,69</t>
  </si>
  <si>
    <t xml:space="preserve"> 00000137 </t>
  </si>
  <si>
    <t>3.200,00</t>
  </si>
  <si>
    <t>0,9792</t>
  </si>
  <si>
    <t xml:space="preserve"> 00011964 </t>
  </si>
  <si>
    <t>PARAFUSO DE ACO TIPO CHUMBADOR PARABOLT, DIAMETRO 3/8", COMPRIMENTO 75 MM</t>
  </si>
  <si>
    <t>12,0</t>
  </si>
  <si>
    <t>1,02</t>
  </si>
  <si>
    <t xml:space="preserve"> SDC04003 </t>
  </si>
  <si>
    <t>3.261,73</t>
  </si>
  <si>
    <t>5,38</t>
  </si>
  <si>
    <t xml:space="preserve"> 89171 </t>
  </si>
  <si>
    <t>(COMPOSIÇÃO REPRESENTATIVA) DO SERVIÇO DE REVESTIMENTO CERÂMICO PARA PISO COM PLACAS TIPO GRÉS DE DIMENSÕES 35X35 CM, PARA EDIFICAÇÃO HABITACIONAL UNIFAMILIAR (CASA) E EDIFICAÇÃO PÚBLICA PADRÃO. AF_11/2014</t>
  </si>
  <si>
    <t>1,44</t>
  </si>
  <si>
    <t>28,22</t>
  </si>
  <si>
    <t xml:space="preserve"> 89170 </t>
  </si>
  <si>
    <t>(COMPOSIÇÃO REPRESENTATIVA) DO SERVIÇO DE REVESTIMENTO CERÂMICO PARA PAREDES INTERNAS, MEIA PAREDE, OU PAREDE INTEIRA, PLACAS GRÊS OU SEMI-GRÊS DE 20X20 CM, PARA EDIFICAÇÕES HABITACIONAIS UNIFAMILIAR (CASAS) E EDIFICAÇÕES PÚBLICAS PADRÃO. AF_11/2014</t>
  </si>
  <si>
    <t>5,04</t>
  </si>
  <si>
    <t>49,41</t>
  </si>
  <si>
    <t>10,76</t>
  </si>
  <si>
    <t xml:space="preserve"> 74141/002 </t>
  </si>
  <si>
    <t>LAJE PRE-MOLD BETA 12 P/3,5KN/M2 VAO 4,1M INCL VIGOTAS TIJOLOS ARMADU-RA NEGATIVA CAPEAMENTO 3CM CONCRETO 15MPA ESCORAMENTO MATERIAIS E MAO DE OBRA.</t>
  </si>
  <si>
    <t>2,65</t>
  </si>
  <si>
    <t>79,62</t>
  </si>
  <si>
    <t xml:space="preserve"> 68333 </t>
  </si>
  <si>
    <t>PISO EM CONCRETO 20 MPA PREPARO MECANICO, ESPESSURA 7CM, INCLUSO JUNTAS DE DILATACAO EM MADEIRA</t>
  </si>
  <si>
    <t>39,59</t>
  </si>
  <si>
    <t xml:space="preserve"> 94779 </t>
  </si>
  <si>
    <t>(COMPOSIÇÃO REPRESENTATIVA) DO SERVIÇO DE CONTRAPISO EM ARGAMASSA TRAÇO 1:4 (CIM E AREIA), EM BETONEIRA 400 L, ESPESSURA 3 CM ÁREAS SECAS E 3 CM ÁREAS MOLHADAS, PARA EDIFICAÇÃO HABITACIONAL MULTIFAMILIAR (PRÉDIO). AF_11/2014</t>
  </si>
  <si>
    <t>29,47</t>
  </si>
  <si>
    <t xml:space="preserve"> 74238/002 </t>
  </si>
  <si>
    <t>PORTAO EM TELA ARAME GALVANIZADO N.12 MALHA 2" E MOLDURA EM TUBOS DE ACO COM DUAS FOLHAS DE ABRIR, INCLUSO FERRAGENS</t>
  </si>
  <si>
    <t>2,59</t>
  </si>
  <si>
    <t>794,65</t>
  </si>
  <si>
    <t xml:space="preserve"> 89709 </t>
  </si>
  <si>
    <t>RALO SIFONADO, PVC, DN 100 X 40 MM, JUNTA SOLDÁVEL, FORNECIDO E INSTALADO EM RAMAL DE DESCARGA OU EM RAMAL DE ESGOTO SANITÁRIO. AF_12/2014</t>
  </si>
  <si>
    <t>7,16</t>
  </si>
  <si>
    <t xml:space="preserve"> SDC03003 </t>
  </si>
  <si>
    <t>233,71</t>
  </si>
  <si>
    <t xml:space="preserve"> 88264 </t>
  </si>
  <si>
    <t>ELETRICISTA COM ENCARGOS COMPLEMENTARES</t>
  </si>
  <si>
    <t>17,69</t>
  </si>
  <si>
    <t xml:space="preserve"> 00000138 </t>
  </si>
  <si>
    <t>188,24</t>
  </si>
  <si>
    <t xml:space="preserve"> SDC01021 </t>
  </si>
  <si>
    <t>27,91</t>
  </si>
  <si>
    <t xml:space="preserve"> 00006081 </t>
  </si>
  <si>
    <t>ARGILA OU BARRO PARA ATERRO/REATERRO (COM TRANSPORTE ATE 10 KM)</t>
  </si>
  <si>
    <t xml:space="preserve"> SDC01198 </t>
  </si>
  <si>
    <t>ASTU - ASSENTAMENTO DE TUBOS E PECAS</t>
  </si>
  <si>
    <t>388,18</t>
  </si>
  <si>
    <t xml:space="preserve"> 92874 </t>
  </si>
  <si>
    <t>23,45</t>
  </si>
  <si>
    <t xml:space="preserve"> 00001527 </t>
  </si>
  <si>
    <t>CONCRETO USINADO BOMBEAVEL, CLASSE DE RESISTENCIA C25, COM BRITA 0 E 1, SLUMP = 100 +/- 20 MM, INCLUI SERVICO DE BOMBEAMENTO (NBR 8953)</t>
  </si>
  <si>
    <t>364,73</t>
  </si>
  <si>
    <t xml:space="preserve"> SDC04028 </t>
  </si>
  <si>
    <t>8.222,41</t>
  </si>
  <si>
    <t>6,72</t>
  </si>
  <si>
    <t>13,44</t>
  </si>
  <si>
    <t>1,89</t>
  </si>
  <si>
    <t xml:space="preserve"> 94962 </t>
  </si>
  <si>
    <t>CONCRETO MAGRO PARA LASTRO, TRAÇO 1:4,5:4,5 (CIMENTO/ AREIA MÉDIA/ BRITA 1)  - PREPARO MECÂNICO COM BETONEIRA 400 L. AF_07/2016</t>
  </si>
  <si>
    <t>0,19</t>
  </si>
  <si>
    <t>238,23</t>
  </si>
  <si>
    <t xml:space="preserve"> 85172 </t>
  </si>
  <si>
    <t>ALAMBRADO EM MOUROES DE CONCRETO "T", ALTURA LIVRE 2M, ESPACADOS A CADA 2M, COM TELA DE ARAME GALVANIZADO, FIO 14 BWG E MALHA QUADRADA 5X5CM</t>
  </si>
  <si>
    <t>5,5</t>
  </si>
  <si>
    <t>97,72</t>
  </si>
  <si>
    <t xml:space="preserve"> 74100/001 </t>
  </si>
  <si>
    <t>378,55</t>
  </si>
  <si>
    <t xml:space="preserve"> 88484 </t>
  </si>
  <si>
    <t>APLICAÇÃO DE FUNDO SELADOR ACRÍLICO EM TETO, UMA DEMÃO. AF_06/2014</t>
  </si>
  <si>
    <t>1,76</t>
  </si>
  <si>
    <t xml:space="preserve"> 88488 </t>
  </si>
  <si>
    <t>APLICAÇÃO MANUAL DE PINTURA COM TINTA LÁTEX ACRÍLICA EM TETO, DUAS DEMÃOS. AF_06/2014</t>
  </si>
  <si>
    <t>11,03</t>
  </si>
  <si>
    <t xml:space="preserve"> 73924/002 </t>
  </si>
  <si>
    <t>PINTURA ESMALTE ACETINADO, DUAS DEMAOS, SOBRE SUPERFICIE METALICA</t>
  </si>
  <si>
    <t>25,72</t>
  </si>
  <si>
    <t>20,90</t>
  </si>
  <si>
    <t xml:space="preserve"> 92701 </t>
  </si>
  <si>
    <t>JOELHO 90 GRAUS, EM FERRO GALVANIZADO, CONEXÃO ROSQUEADA, DN 20 (3/4"), INSTALADO EM RAMAIS E SUB-RAMAIS DE GÁS - FORNECIMENTO E INSTALAÇÃO. AF_12/2015</t>
  </si>
  <si>
    <t>20,67</t>
  </si>
  <si>
    <t xml:space="preserve"> 83370 </t>
  </si>
  <si>
    <t>QUADRO DE DISTRIBUICAO PARA TELEFONE N.3, 40X40X12CM EM CHAPA METALICA, DE EMBUTIR, SEM ACESSORIOS, PADRAO TELEBRAS, FORNECIMENTO E INSTALACAO</t>
  </si>
  <si>
    <t>170,06</t>
  </si>
  <si>
    <t xml:space="preserve"> SDC02041 </t>
  </si>
  <si>
    <t>COTOVELO FERRO GALV 90G ROSCA MACHO/FEMEA 2"</t>
  </si>
  <si>
    <t>58,80</t>
  </si>
  <si>
    <t xml:space="preserve"> SDC04029 </t>
  </si>
  <si>
    <t>FORNECIMENTO E INSTALAÇÃO DE REGISTRO PARA GÁS 3/4</t>
  </si>
  <si>
    <t>38,35</t>
  </si>
  <si>
    <t xml:space="preserve"> 00000145 </t>
  </si>
  <si>
    <t>941,00</t>
  </si>
  <si>
    <t xml:space="preserve"> SDC07027 </t>
  </si>
  <si>
    <t>34,57</t>
  </si>
  <si>
    <t xml:space="preserve"> 00011756 </t>
  </si>
  <si>
    <t>REGISTRO OU REGULADOR DE GAS COZINHA, VAZAO DE 2 KG/H, 2,8 KPA</t>
  </si>
  <si>
    <t>18,89</t>
  </si>
  <si>
    <t xml:space="preserve"> SDC07035 </t>
  </si>
  <si>
    <t>43,69</t>
  </si>
  <si>
    <t>0,54</t>
  </si>
  <si>
    <t xml:space="preserve"> 00003146 </t>
  </si>
  <si>
    <t>FITA VEDA ROSCA EM ROLOS DE 18 MM X 10 M (L X C)</t>
  </si>
  <si>
    <t>0,056</t>
  </si>
  <si>
    <t>2,79</t>
  </si>
  <si>
    <t xml:space="preserve"> 00011749 </t>
  </si>
  <si>
    <t>VALVULA DE ESFERA BRUTA EM BRONZE, BITOLA 3/4 " (REF 1552-B)</t>
  </si>
  <si>
    <t>26,60</t>
  </si>
  <si>
    <t xml:space="preserve"> SDC03062 </t>
  </si>
  <si>
    <t>INEL - INSTALAÇÃO ELÉTRICA/ELETRIFICAÇÃO E ILUMINAÇÃO EXTERNA</t>
  </si>
  <si>
    <t xml:space="preserve"> 00000083 </t>
  </si>
  <si>
    <t>4,55</t>
  </si>
  <si>
    <t xml:space="preserve"> SDC03066 </t>
  </si>
  <si>
    <t>31,01</t>
  </si>
  <si>
    <t xml:space="preserve"> 00000091 </t>
  </si>
  <si>
    <t>20,82</t>
  </si>
  <si>
    <t xml:space="preserve"> SDC03007 </t>
  </si>
  <si>
    <t>121,76</t>
  </si>
  <si>
    <t xml:space="preserve"> 00012232 </t>
  </si>
  <si>
    <t>LUMINARIA DE SOBREPOR EM CHAPA DE ACO PARA 2 LAMPADAS FLUORESCENTES DE *18* W, PERFIL COMERCIAL (NAO INCLUI REATOR E LAMPADAS)</t>
  </si>
  <si>
    <t>12,15</t>
  </si>
  <si>
    <t xml:space="preserve"> 00039387 </t>
  </si>
  <si>
    <t>LAMPADA LED TUBULAR BIVOLT 18/20 W, BASE G13</t>
  </si>
  <si>
    <t>41,39</t>
  </si>
  <si>
    <t xml:space="preserve"> SDC03001 </t>
  </si>
  <si>
    <t>187,54</t>
  </si>
  <si>
    <t xml:space="preserve"> 00000230 </t>
  </si>
  <si>
    <t>VENTILADOR 3 PÁS</t>
  </si>
  <si>
    <t>158,36</t>
  </si>
  <si>
    <t xml:space="preserve"> SDC03120 </t>
  </si>
  <si>
    <t>43,99</t>
  </si>
  <si>
    <t xml:space="preserve"> 88247 </t>
  </si>
  <si>
    <t>AUXILIAR DE ELETRICISTA COM ENCARGOS COMPLEMENTARES</t>
  </si>
  <si>
    <t>14,41</t>
  </si>
  <si>
    <t xml:space="preserve"> 00000254 </t>
  </si>
  <si>
    <t>19,10</t>
  </si>
  <si>
    <t xml:space="preserve"> SDC03121 </t>
  </si>
  <si>
    <t>76,17</t>
  </si>
  <si>
    <t xml:space="preserve"> 00000255 </t>
  </si>
  <si>
    <t>51,28</t>
  </si>
  <si>
    <t xml:space="preserve"> SDC03128 </t>
  </si>
  <si>
    <t>1.327,26</t>
  </si>
  <si>
    <t xml:space="preserve"> 00000199 </t>
  </si>
  <si>
    <t>1.314,28</t>
  </si>
  <si>
    <t xml:space="preserve"> 00004331 </t>
  </si>
  <si>
    <t>PARAFUSO ZINCADO, SEXTAVADO, COM ROSCA INTEIRA, DIAMETRO 5/8", COMPRIMENTO 2 1/4"</t>
  </si>
  <si>
    <t xml:space="preserve"> SDC07041 </t>
  </si>
  <si>
    <t>8,19</t>
  </si>
  <si>
    <t xml:space="preserve"> 00000244 </t>
  </si>
  <si>
    <t>DUTO CORRUGADO FLEXÍVEL 1"</t>
  </si>
  <si>
    <t>1,015</t>
  </si>
  <si>
    <t>1,92</t>
  </si>
  <si>
    <t xml:space="preserve"> 00000077 </t>
  </si>
  <si>
    <t>36,33</t>
  </si>
  <si>
    <t xml:space="preserve"> 00000078 </t>
  </si>
  <si>
    <t>BARRA DE TERRA 12 FUROS VERDE</t>
  </si>
  <si>
    <t>36,40</t>
  </si>
  <si>
    <t>3,0</t>
  </si>
  <si>
    <t>6,0</t>
  </si>
  <si>
    <t>0,15</t>
  </si>
  <si>
    <t>0,34</t>
  </si>
  <si>
    <t>5,28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</si>
  <si>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</si>
  <si>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</si>
  <si>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>121,41</t>
  </si>
  <si>
    <t xml:space="preserve"> SDC03046 </t>
  </si>
  <si>
    <t>72,56</t>
  </si>
  <si>
    <t xml:space="preserve"> 00000073 </t>
  </si>
  <si>
    <t>58,93</t>
  </si>
  <si>
    <t xml:space="preserve"> SDC03058 </t>
  </si>
  <si>
    <t>20,81</t>
  </si>
  <si>
    <t xml:space="preserve"> 00034359 </t>
  </si>
  <si>
    <t>10,12</t>
  </si>
  <si>
    <t xml:space="preserve"> SDC04023 </t>
  </si>
  <si>
    <t>3,06</t>
  </si>
  <si>
    <t xml:space="preserve"> 00007583 </t>
  </si>
  <si>
    <t>BUCHA DE NYLON SEM ABA S8, COM PARAFUSO DE 4,80 X 50 MM EM ACO ZINCADO COM ROSCA SOBERBA, CABECA CHATA E FENDA PHILLIPS</t>
  </si>
  <si>
    <t>0,41</t>
  </si>
  <si>
    <t xml:space="preserve"> SDC03015 </t>
  </si>
  <si>
    <t>0,26</t>
  </si>
  <si>
    <t xml:space="preserve"> 00011962 </t>
  </si>
  <si>
    <t>PARAFUSO ZINCADO, SEXTAVADO, COM ROSCA INTEIRA, DIAMETRO 1/4", COMPRIMENTO 1/2"</t>
  </si>
  <si>
    <t xml:space="preserve"> SDC03020 </t>
  </si>
  <si>
    <t>71,37</t>
  </si>
  <si>
    <t>0,98</t>
  </si>
  <si>
    <t xml:space="preserve"> 00000102 </t>
  </si>
  <si>
    <t>CAIXA DE INSPEÇÃO TIPO SOLO EM PVC COM DIAMETRO 300MM</t>
  </si>
  <si>
    <t>13,29</t>
  </si>
  <si>
    <t xml:space="preserve"> 00000264 </t>
  </si>
  <si>
    <t>TAMPA CAIXA DE INSPEÇÃO COM DIAMETRO 300MM</t>
  </si>
  <si>
    <t>27,33</t>
  </si>
  <si>
    <t xml:space="preserve"> SDC03014 </t>
  </si>
  <si>
    <t>24,05</t>
  </si>
  <si>
    <t xml:space="preserve"> 00000101 </t>
  </si>
  <si>
    <t>14,43</t>
  </si>
  <si>
    <t xml:space="preserve"> SDC03016 </t>
  </si>
  <si>
    <t>8,15</t>
  </si>
  <si>
    <t xml:space="preserve"> 00000112 </t>
  </si>
  <si>
    <t>CARTUCHO PARA SOLDA 115MM</t>
  </si>
  <si>
    <t xml:space="preserve"> SDC03056 </t>
  </si>
  <si>
    <t>6,34</t>
  </si>
  <si>
    <t xml:space="preserve"> 00003384 </t>
  </si>
  <si>
    <t>3,20</t>
  </si>
  <si>
    <t xml:space="preserve"> SDC03004 </t>
  </si>
  <si>
    <t xml:space="preserve"> 00039129 </t>
  </si>
  <si>
    <t>ABRACADEIRA EM ACO PARA AMARRACAO DE ELETRODUTOS, TIPO D, COM 1" E CUNHA DE FIXACAO</t>
  </si>
  <si>
    <t xml:space="preserve"> SDC03017 </t>
  </si>
  <si>
    <t>316,73</t>
  </si>
  <si>
    <t xml:space="preserve"> 00000107 </t>
  </si>
  <si>
    <t>307,27</t>
  </si>
  <si>
    <t xml:space="preserve"> SDC03055 </t>
  </si>
  <si>
    <t>351,50</t>
  </si>
  <si>
    <t xml:space="preserve"> 00004274 </t>
  </si>
  <si>
    <t>52,75</t>
  </si>
  <si>
    <t xml:space="preserve"> 00004350 </t>
  </si>
  <si>
    <t>BUCHA DE NYLON, DIAMETRO DO FURO 8 MM, COMPRIMENTO 40 MM, COM PARAFUSO DE ROSCA SOBERBA, CABECA CHATA, FENDA SIMPLES, 4,8 X 50 MM</t>
  </si>
  <si>
    <t>0,27</t>
  </si>
  <si>
    <t xml:space="preserve"> 00011854 </t>
  </si>
  <si>
    <t>CONECTOR METALICO TIPO PARAFUSO FENDIDO (SPLIT BOLT), PARA CABOS ATE 35 MM2</t>
  </si>
  <si>
    <t>5,08</t>
  </si>
  <si>
    <t xml:space="preserve"> 00007696 </t>
  </si>
  <si>
    <t>TUBO ACO GALVANIZADO COM COSTURA, CLASSE MEDIA, DN 2", E = *3,65* MM, PESO *5,10* AS</t>
  </si>
  <si>
    <t>36,96</t>
  </si>
  <si>
    <t xml:space="preserve"> 00007572 </t>
  </si>
  <si>
    <t>SUPORTE ISOLADOR REFORCADO DIAMETRO NOMINAL 5/16", COM ROSCA SOBERBA E BUCHA</t>
  </si>
  <si>
    <t xml:space="preserve"> SDC03057 </t>
  </si>
  <si>
    <t>50,06</t>
  </si>
  <si>
    <t xml:space="preserve"> 00038061 </t>
  </si>
  <si>
    <t>28,50</t>
  </si>
  <si>
    <t xml:space="preserve"> 00002510 </t>
  </si>
  <si>
    <t>RELE FOTOELETRICO INTERNO E EXTERNO BIVOLT 1000 W, DE CONECTOR, SEM BASE</t>
  </si>
  <si>
    <t>13,78</t>
  </si>
  <si>
    <t xml:space="preserve"> 00038191 </t>
  </si>
  <si>
    <t>LAMPADA FLUORESCENTE COMPACTA 2U BRANCA 15 W, BASE E27 (127/220 V)</t>
  </si>
  <si>
    <t>7,97</t>
  </si>
  <si>
    <t xml:space="preserve"> SDC02019 </t>
  </si>
  <si>
    <t>20,72</t>
  </si>
  <si>
    <t xml:space="preserve"> 00000122 </t>
  </si>
  <si>
    <t>ADESIVO PLASTICO PARA PVC, FRASCO COM 850 GR</t>
  </si>
  <si>
    <t>0,037</t>
  </si>
  <si>
    <t>45,16</t>
  </si>
  <si>
    <t xml:space="preserve"> 00000830 </t>
  </si>
  <si>
    <t>BUCHA DE REDUCAO DE PVC, SOLDAVEL, CURTA, COM 85 X 75 MM, PARA AGUA FRIA PREDIAL</t>
  </si>
  <si>
    <t xml:space="preserve"> 00020083 </t>
  </si>
  <si>
    <t>SOLUCAO LIMPADORA PARA PVC, FRASCO COM 1000 CM3</t>
  </si>
  <si>
    <t>39,22</t>
  </si>
  <si>
    <t xml:space="preserve"> SDC02002 </t>
  </si>
  <si>
    <t>13,15</t>
  </si>
  <si>
    <t>0,24</t>
  </si>
  <si>
    <t xml:space="preserve"> 00000813 </t>
  </si>
  <si>
    <t>BUCHA DE REDUCAO DE PVC, SOLDAVEL, LONGA, COM 50 X 25 MM, PARA AGUA FRIA PREDIAL</t>
  </si>
  <si>
    <t>3,70</t>
  </si>
  <si>
    <t>0,046</t>
  </si>
  <si>
    <t xml:space="preserve"> SDC02003 </t>
  </si>
  <si>
    <t>17,34</t>
  </si>
  <si>
    <t>0,004</t>
  </si>
  <si>
    <t xml:space="preserve"> 00000816 </t>
  </si>
  <si>
    <t>BUCHA DE REDUCAO DE PVC, SOLDAVEL, LONGA, COM 60 X 25 MM, PARA AGUA FRIA PREDIAL</t>
  </si>
  <si>
    <t>6,93</t>
  </si>
  <si>
    <t xml:space="preserve"> SDC02045 </t>
  </si>
  <si>
    <t>25,36</t>
  </si>
  <si>
    <t>0,007</t>
  </si>
  <si>
    <t>0,078</t>
  </si>
  <si>
    <t xml:space="preserve"> 00000821 </t>
  </si>
  <si>
    <t>BUCHA DE REDUCAO DE PVC, SOLDAVEL, LONGA, COM 75 X 50 MM, PARA AGUA FRIA PREDIAL</t>
  </si>
  <si>
    <t>12,28</t>
  </si>
  <si>
    <t xml:space="preserve"> SDC02029 </t>
  </si>
  <si>
    <t>58,89</t>
  </si>
  <si>
    <t>0,144</t>
  </si>
  <si>
    <t>0,026</t>
  </si>
  <si>
    <t xml:space="preserve"> 00007133 </t>
  </si>
  <si>
    <t>TE DE REDUCAO, PVC, SOLDAVEL, 90 GRAUS, 85 MM X 60 MM, PARA AGUA FRIA PREDIAL</t>
  </si>
  <si>
    <t>51,82</t>
  </si>
  <si>
    <t>0,033</t>
  </si>
  <si>
    <t xml:space="preserve"> 00038383 </t>
  </si>
  <si>
    <t>LIXA D'AGUA EM FOLHA, GRAO 100</t>
  </si>
  <si>
    <t>0,036</t>
  </si>
  <si>
    <t>1,50</t>
  </si>
  <si>
    <t xml:space="preserve"> SDC02118 </t>
  </si>
  <si>
    <t>57.950,57</t>
  </si>
  <si>
    <t xml:space="preserve"> 90095 </t>
  </si>
  <si>
    <t>ESCAVAÇÃO MECANIZADA DE VALA COM PROF. MAIOR QUE 3,0 M ATÉ 4,5 M (MÉDIA ENTRE MONTANTE E JUSANTE/UMA COMPOSIÇÃO POR TRECHO), COM ESCAVADEIRA HIDRÁULICA (1,2 M3/155 HP), LARG. DE 1,5 M A 2,5 M, EM SOLO DE 1A CATEGORIA, LOCAIS COM BAIXO NÍVEL DE INTERFERÊNCIA. AF_01/2015</t>
  </si>
  <si>
    <t>116,3</t>
  </si>
  <si>
    <t>1,90</t>
  </si>
  <si>
    <t xml:space="preserve"> 73964/006 </t>
  </si>
  <si>
    <t>58,46</t>
  </si>
  <si>
    <t>41,67</t>
  </si>
  <si>
    <t xml:space="preserve"> 72897 </t>
  </si>
  <si>
    <t>CARGA MANUAL DE ENTULHO EM CAMINHAO BASCULANTE 6 M3</t>
  </si>
  <si>
    <t>80,97</t>
  </si>
  <si>
    <t>16,50</t>
  </si>
  <si>
    <t xml:space="preserve"> 95302 </t>
  </si>
  <si>
    <t>809,7</t>
  </si>
  <si>
    <t>1,28</t>
  </si>
  <si>
    <t xml:space="preserve"> 94099 </t>
  </si>
  <si>
    <t>36,92</t>
  </si>
  <si>
    <t>2,05</t>
  </si>
  <si>
    <t xml:space="preserve"> 95241 </t>
  </si>
  <si>
    <t>25,62</t>
  </si>
  <si>
    <t>18,96</t>
  </si>
  <si>
    <t xml:space="preserve"> SDC01117 </t>
  </si>
  <si>
    <t>IMPERMEABILIZAÇÃO DE PAREDE COM SIKATOP 100 OU SIMILAR, 2 DEMÃOS</t>
  </si>
  <si>
    <t>60,6</t>
  </si>
  <si>
    <t>12,57</t>
  </si>
  <si>
    <t xml:space="preserve"> 5970 </t>
  </si>
  <si>
    <t>143,81</t>
  </si>
  <si>
    <t>44,54</t>
  </si>
  <si>
    <t xml:space="preserve"> SDC01118 </t>
  </si>
  <si>
    <t>CONCRETO USINADO BOMBEAVEL, COM ADITIVO IMPERMEABILIZANTE, CLASSE DE RESISTENCIA C25, COM BRITA 0 E 1, SLUMP = 100 +/- 20 MM, EXCLUI SERVICO DE BOMBEAMENTO (NBR 8953)</t>
  </si>
  <si>
    <t>18,04</t>
  </si>
  <si>
    <t>410,49</t>
  </si>
  <si>
    <t xml:space="preserve"> SDC01008 </t>
  </si>
  <si>
    <t>ARMAÇÃO DE FUNDAÇÕES E ESTRUTURAS DE CONCRETO ARMADO, EXCETO VIGAS, PILARES E LAJES (DE EDIFÍCIOS DE MÚLTIPLOS PAVIMENTOS, EDIFICAÇÃO TÉRREA OU SOBRADO), UTILIZANDO AÇO CA-60 DE 5.0 MM - MONTAGEM</t>
  </si>
  <si>
    <t>107,66</t>
  </si>
  <si>
    <t>11,76</t>
  </si>
  <si>
    <t xml:space="preserve"> SDC01010 </t>
  </si>
  <si>
    <t>ARMAÇÃO DE FUNDAÇÕES E ESTRUTURAS DE CONCRETO ARMADO, EXCETO VIGAS, PILARES E LAJES (DE EDIFÍCIOS DE MÚLTIPLOS PAVIMENTOS, EDIFICAÇÃO TÉRREA OU SOBRADO), UTILIZANDO AÇO CA-50 DE 6.3 MM - MONTAGEM</t>
  </si>
  <si>
    <t>287,0</t>
  </si>
  <si>
    <t>10,81</t>
  </si>
  <si>
    <t xml:space="preserve"> SDC01013 </t>
  </si>
  <si>
    <t>ARMAÇÃO DE FUNDAÇÕES E ESTRUTURAS DE CONCRETO ARMADO, EXCETO VIGAS, PILARES E LAJES (DE EDIFÍCIOS DE MÚLTIPLOS PAVIMENTOS, EDIFICAÇÃO TÉRREA OU SOBRADO), UTILIZANDO AÇO CA-50 DE 8.0 MM - MONTAGEM</t>
  </si>
  <si>
    <t>258,94</t>
  </si>
  <si>
    <t xml:space="preserve"> SDC01004 </t>
  </si>
  <si>
    <t>ARMAÇÃO DE FUNDAÇÕES E ESTRUTURAS DE CONCRETO ARMADO, EXCETO VIGAS, PILARES E LAJES (DE EDIFÍCIOS DE MÚLTIPLOS PAVIMENTOS, EDIFICAÇÃO TÉRREA OU SOBRADO), UTILIZANDO AÇO CA-50 DE 10.0 MM - MONTAGEM</t>
  </si>
  <si>
    <t>723,04</t>
  </si>
  <si>
    <t>8,38</t>
  </si>
  <si>
    <t xml:space="preserve"> SDC01006 </t>
  </si>
  <si>
    <t>ARMAÇÃO DE FUNDAÇÕES E ESTRUTURAS DE CONCRETO ARMADO, EXCETO VIGAS, PILARES E LAJES (DE EDIFÍCIOS DE MÚLTIPLOS PAVIMENTOS, EDIFICAÇÃO TÉRREA OU SOBRADO), UTILIZANDO AÇO CA-50 DE 12.5 MM - MONTAGEM</t>
  </si>
  <si>
    <t>951,89</t>
  </si>
  <si>
    <t>7,05</t>
  </si>
  <si>
    <t xml:space="preserve"> SDC01050 </t>
  </si>
  <si>
    <t>ARMAÇÃO DE FUNDAÇÕES E ESTRUTURAS DE CONCRETO ARMADO, EXCETO VIGAS, PILARES E LAJES (DE EDIFÍCIOS DE MÚLTIPLOS PAVIMENTOS, EDIFICAÇÃO TÉRREA OU SOBRADO), UTILIZANDO AÇO CA-50 DE 16 MM - MONTAGEM</t>
  </si>
  <si>
    <t>239,16</t>
  </si>
  <si>
    <t>5,61</t>
  </si>
  <si>
    <t xml:space="preserve"> 90808 </t>
  </si>
  <si>
    <t>ESTACA HÉLICE CONTÍNUA, DIÂMETRO DE 30 CM, COMPRIMENTO TOTAL ATÉ 15 M, PERFURATRIZ COM TORQUE DE 170 KN.M (EXCLUSIVE MOBILIZAÇÃO E DESMOBILIZAÇÃO). AF_02/2015</t>
  </si>
  <si>
    <t>78,0</t>
  </si>
  <si>
    <t>66,95</t>
  </si>
  <si>
    <t xml:space="preserve"> 92413 </t>
  </si>
  <si>
    <t>MONTAGEM E DESMONTAGEM DE FÔRMA DE PILARES RETANGULARES E ESTRUTURAS SIMILARES COM ÁREA MÉDIA DAS SEÇÕES MAIOR QUE 0,25 M², PÉ-DIREITO SIMPLES, EM MADEIRA SERRADA, 4 UTILIZAÇÕES. AF_12/2015</t>
  </si>
  <si>
    <t>8,4</t>
  </si>
  <si>
    <t>53,63</t>
  </si>
  <si>
    <t xml:space="preserve"> 94971 </t>
  </si>
  <si>
    <t>CONCRETO FCK = 25MPA, TRAÇO 1:2,3:2,7 (CIMENTO/ AREIA MÉDIA/ BRITA 1)  - PREPARO MECÂNICO COM BETONEIRA 600 L. AF_07/2016</t>
  </si>
  <si>
    <t>295,22</t>
  </si>
  <si>
    <t>76,7</t>
  </si>
  <si>
    <t xml:space="preserve"> 92778 </t>
  </si>
  <si>
    <t>ARMAÇÃO DE PILAR OU VIGA DE UMA ESTRUTURA CONVENCIONAL DE CONCRETO ARMADO EM UMA EDIFICAÇÃO TÉRREA OU SOBRADO UTILIZANDO AÇO CA-50 DE 10,0 MM - MONTAGEM. AF_12/2015</t>
  </si>
  <si>
    <t>45,2</t>
  </si>
  <si>
    <t>8,86</t>
  </si>
  <si>
    <t xml:space="preserve"> 92777 </t>
  </si>
  <si>
    <t>ARMAÇÃO DE PILAR OU VIGA DE UMA ESTRUTURA CONVENCIONAL DE CONCRETO ARMADO EM UMA EDIFICAÇÃO TÉRREA OU SOBRADO UTILIZANDO AÇO CA-50 DE 8,0 MM - MONTAGEM. AF_12/2015</t>
  </si>
  <si>
    <t>205,2</t>
  </si>
  <si>
    <t>10,94</t>
  </si>
  <si>
    <t xml:space="preserve"> 92447 </t>
  </si>
  <si>
    <t>MONTAGEM E DESMONTAGEM DE FÔRMA DE VIGA, ESCORAMENTO COM PONTALETE DE MADEIRA, PÉ-DIREITO SIMPLES, EM MADEIRA SERRADA, 2 UTILIZAÇÕES. AF_12/2015</t>
  </si>
  <si>
    <t>14,82</t>
  </si>
  <si>
    <t>78,12</t>
  </si>
  <si>
    <t xml:space="preserve"> 92485 </t>
  </si>
  <si>
    <t>MONTAGEM E DESMONTAGEM DE FÔRMA DE LAJE MACIÇA COM ÁREA MÉDIA MENOR OU IGUAL A 20 M², PÉ-DIREITO SIMPLES, EM MADEIRA SERRADA, 4 UTILIZAÇÕES. AF_12/2015</t>
  </si>
  <si>
    <t>13,9</t>
  </si>
  <si>
    <t>79,78</t>
  </si>
  <si>
    <t>311,72</t>
  </si>
  <si>
    <t xml:space="preserve"> 74145/001 </t>
  </si>
  <si>
    <t>36,9</t>
  </si>
  <si>
    <t>14,07</t>
  </si>
  <si>
    <t>6,1</t>
  </si>
  <si>
    <t xml:space="preserve"> 88279 </t>
  </si>
  <si>
    <t>MONTADOR ELETROMECÃNICO COM ENCARGOS COMPLEMENTARES</t>
  </si>
  <si>
    <t>22,35</t>
  </si>
  <si>
    <t xml:space="preserve"> SDC04001 </t>
  </si>
  <si>
    <t>41,95</t>
  </si>
  <si>
    <t xml:space="preserve"> 00037401 </t>
  </si>
  <si>
    <t>31,70</t>
  </si>
  <si>
    <t xml:space="preserve"> SDC02048 </t>
  </si>
  <si>
    <t>23,38</t>
  </si>
  <si>
    <t xml:space="preserve"> 00000377 </t>
  </si>
  <si>
    <t>ASSENTO SANITARIO DE PLASTICO, TIPO CONVENCIONAL</t>
  </si>
  <si>
    <t>22,00</t>
  </si>
  <si>
    <t xml:space="preserve"> SDC02057 </t>
  </si>
  <si>
    <t>566,44</t>
  </si>
  <si>
    <t xml:space="preserve"> 00000013 </t>
  </si>
  <si>
    <t>ESTOPA</t>
  </si>
  <si>
    <t>12,78</t>
  </si>
  <si>
    <t xml:space="preserve"> 00000229 </t>
  </si>
  <si>
    <t>83,10</t>
  </si>
  <si>
    <t xml:space="preserve"> 00000055 </t>
  </si>
  <si>
    <t>455,89</t>
  </si>
  <si>
    <t xml:space="preserve"> SDC02079 </t>
  </si>
  <si>
    <t>671,86</t>
  </si>
  <si>
    <t xml:space="preserve"> 86879 </t>
  </si>
  <si>
    <t>VÁLVULA EM PLÁSTICO 1" PARA PIA, TANQUE OU LAVATÓRIO, COM OU SEM LADRÃO - FORNECIMENTO E INSTALAÇÃO. AF_12/2013</t>
  </si>
  <si>
    <t xml:space="preserve"> 86883 </t>
  </si>
  <si>
    <t>SIFÃO DO TIPO FLEXÍVEL EM PVC 1 X 1.1/2 - FORNECIMENTO E INSTALAÇÃO. AF_12/2013</t>
  </si>
  <si>
    <t>8,96</t>
  </si>
  <si>
    <t xml:space="preserve"> 86884 </t>
  </si>
  <si>
    <t>ENGATE FLEXÍVEL EM PLÁSTICO BRANCO, 1/2" X 30CM - FORNECIMENTO E INSTALAÇÃO. AF_12/2013</t>
  </si>
  <si>
    <t>6,51</t>
  </si>
  <si>
    <t xml:space="preserve"> 86904 </t>
  </si>
  <si>
    <t>LAVATÓRIO LOUÇA BRANCA SUSPENSO, 29,5 X 39CM OU EQUIVALENTE, PADRÃO POPULAR - FORNECIMENTO E INSTALAÇÃO. AF_12/2013</t>
  </si>
  <si>
    <t>100,11</t>
  </si>
  <si>
    <t xml:space="preserve"> SDC02036 </t>
  </si>
  <si>
    <t>551,00</t>
  </si>
  <si>
    <t xml:space="preserve"> SDC02033 </t>
  </si>
  <si>
    <t>81,16</t>
  </si>
  <si>
    <t>0,042</t>
  </si>
  <si>
    <t xml:space="preserve"> 00001370 </t>
  </si>
  <si>
    <t>DUCHA HIGIENICA PLASTICA COM REGISTRO METALICO 1/2 "</t>
  </si>
  <si>
    <t>72,31</t>
  </si>
  <si>
    <t xml:space="preserve"> SDC02004 </t>
  </si>
  <si>
    <t>35,87</t>
  </si>
  <si>
    <t xml:space="preserve"> 00011712 </t>
  </si>
  <si>
    <t>CAIXA SIFONADA PVC, 150 X 150 X 50 MM, COM GRELHA QUADRADA BRANCA (NBR 5688)</t>
  </si>
  <si>
    <t>20,00</t>
  </si>
  <si>
    <t>0,46</t>
  </si>
  <si>
    <t xml:space="preserve"> 00000301 </t>
  </si>
  <si>
    <t>ANEL BORRACHA PARA TUBO ESGOTO PREDIAL, DN 100 MM (NBR 5688)</t>
  </si>
  <si>
    <t>1,98</t>
  </si>
  <si>
    <t xml:space="preserve"> 00000297 </t>
  </si>
  <si>
    <t>ANEL BORRACHA PARA TUBO ESGOTO PREDIAL DN 75 MM (NBR 5688)</t>
  </si>
  <si>
    <t>1,57</t>
  </si>
  <si>
    <t xml:space="preserve"> 00020078 </t>
  </si>
  <si>
    <t>PASTA LUBRIFICANTE PARA TUBOS E CONEXOES COM JUNTA ELASTICA (USO EM PVC, ACO, POLIETILENO E OUTROS) ( DE *400* G)</t>
  </si>
  <si>
    <t>16,53</t>
  </si>
  <si>
    <t>13,94</t>
  </si>
  <si>
    <t xml:space="preserve"> SDC02007 </t>
  </si>
  <si>
    <t>29,82</t>
  </si>
  <si>
    <t xml:space="preserve"> 00000296 </t>
  </si>
  <si>
    <t>ANEL BORRACHA PARA TUBO ESGOTO PREDIAL DN 50 MM (NBR 5688)</t>
  </si>
  <si>
    <t>1,11</t>
  </si>
  <si>
    <t xml:space="preserve"> 00010908 </t>
  </si>
  <si>
    <t>JUNCAO DE REDUCAO INVERTIDA, PVC SOLDAVEL, 100 X 50 MM, SERIE NORMAL PARA ESGOTO PREDIAL</t>
  </si>
  <si>
    <t>11,48</t>
  </si>
  <si>
    <t xml:space="preserve"> SDC02005 </t>
  </si>
  <si>
    <t>23,31</t>
  </si>
  <si>
    <t xml:space="preserve"> 00003669 </t>
  </si>
  <si>
    <t>JUNCAO DE REDUCAO INVERTIDA, PVC SOLDAVEL, 75 X 50 MM, SERIE NORMAL PARA ESGOTO PREDIAL</t>
  </si>
  <si>
    <t>8,40</t>
  </si>
  <si>
    <t xml:space="preserve"> SDC02006 </t>
  </si>
  <si>
    <t>13,72</t>
  </si>
  <si>
    <t>0,23</t>
  </si>
  <si>
    <t>0,051</t>
  </si>
  <si>
    <t xml:space="preserve"> 00020043 </t>
  </si>
  <si>
    <t>REDUCAO EXCENTRICA PVC P/ ESG PREDIAL DN 100 X 50MM</t>
  </si>
  <si>
    <t>3,02</t>
  </si>
  <si>
    <t xml:space="preserve"> SDC02082 </t>
  </si>
  <si>
    <t>10,98</t>
  </si>
  <si>
    <t xml:space="preserve"> 00020042 </t>
  </si>
  <si>
    <t>REDUCAO EXCENTRICA PVC P/ ESG PREDIAL DN 75 X 50MM</t>
  </si>
  <si>
    <t>2,77</t>
  </si>
  <si>
    <t xml:space="preserve"> SDC02008 </t>
  </si>
  <si>
    <t>7,77</t>
  </si>
  <si>
    <t xml:space="preserve"> 00039319 </t>
  </si>
  <si>
    <t>TERMINAL DE VENTILACAO, 50 MM, SERIE NORMAL, ESGOTO PREDIAL</t>
  </si>
  <si>
    <t>4,34</t>
  </si>
  <si>
    <t>0,008</t>
  </si>
  <si>
    <t xml:space="preserve"> SDC02096 </t>
  </si>
  <si>
    <t>4.602,61</t>
  </si>
  <si>
    <t xml:space="preserve"> 87495 </t>
  </si>
  <si>
    <t>ALVENARIA DE VEDAÇÃO DE BLOCOS CERÂMICOS FURADOS NA HORIZONTAL DE 9X19X19CM (ESPESSURA 9CM) DE PAREDES COM ÁREA LÍQUIDA MENOR QUE 6M² SEM VÃOS E ARGAMASSA DE ASSENTAMENTO COM PREPARO EM BETONEIRA. AF_06/2014</t>
  </si>
  <si>
    <t>59,57</t>
  </si>
  <si>
    <t xml:space="preserve"> 87878 </t>
  </si>
  <si>
    <t>CHAPISCO APLICADO EM ALVENARIAS E ESTRUTURAS DE CONCRETO INTERNAS, COM COLHER DE PEDREIRO.  ARGAMASSA TRAÇO 1:3 COM PREPARO MANUAL. AF_06/2014</t>
  </si>
  <si>
    <t>3,1</t>
  </si>
  <si>
    <t>2,92</t>
  </si>
  <si>
    <t xml:space="preserve"> 87528 </t>
  </si>
  <si>
    <t>EMBOÇO, PARA RECEBIMENTO DE CERÂMICA, EM ARGAMASSA TRAÇO 1:2:8, PREPARO MANUAL, APLICADO MANUALMENTE EM FACES INTERNAS DE PAREDES, PARA AMBIENTE COM ÁREA MENOR QUE 5M2, ESPESSURA DE 20MM, COM EXECUÇÃO DE TALISCAS. AF_06/2014</t>
  </si>
  <si>
    <t>28,44</t>
  </si>
  <si>
    <t xml:space="preserve"> 87264 </t>
  </si>
  <si>
    <t>REVESTIMENTO CERÂMICO PARA PAREDES INTERNAS COM PLACAS TIPO ESMALTADA EXTRA DE DIMENSÕES 20X20 CM APLICADAS EM AMBIENTES DE ÁREA MENOR QUE 5 M² NA ALTURA INTEIRA DAS PAREDES. AF_06/2014</t>
  </si>
  <si>
    <t>50,84</t>
  </si>
  <si>
    <t xml:space="preserve"> 86878 </t>
  </si>
  <si>
    <t>VÁLVULA EM METAL CROMADO TIPO AMERICANA 3.1/2" X 1.1/2" PARA PIA - FORNECIMENTO E INSTALAÇÃO. AF_12/2013</t>
  </si>
  <si>
    <t>32,15</t>
  </si>
  <si>
    <t xml:space="preserve"> 86912 </t>
  </si>
  <si>
    <t>TORNEIRA CROMADA LONGA, DE PAREDE, 1/2" OU 3/4", PARA PIA DE COZINHA, PADRÃO MÉDIO - FORNECIMENTO E INSTALAÇÃO. AF_12/2013</t>
  </si>
  <si>
    <t>39,90</t>
  </si>
  <si>
    <t xml:space="preserve"> 00000070 </t>
  </si>
  <si>
    <t>4.100,00</t>
  </si>
  <si>
    <t xml:space="preserve"> SDC02032 </t>
  </si>
  <si>
    <t>388,08</t>
  </si>
  <si>
    <t xml:space="preserve"> 89043 </t>
  </si>
  <si>
    <t>(COMPOSIÇÃO REPRESENTATIVA) DO SERVIÇO DE ALVENARIA DE VEDAÇÃO DE BLOCOS VAZADOS DE CERÂMICA DE 9X19X19CM (ESPESSURA 9CM), PARA EDIFICAÇÃO HABITACIONAL MULTIFAMILIAR (PRÉDIO). AF_11/2014</t>
  </si>
  <si>
    <t>1,08</t>
  </si>
  <si>
    <t>56,68</t>
  </si>
  <si>
    <t>2,16</t>
  </si>
  <si>
    <t xml:space="preserve"> 86914 </t>
  </si>
  <si>
    <t>TORNEIRA CROMADA 1/2" OU 3/4" PARA TANQUE, PADRÃO MÉDIO - FORNECIMENTO E INSTALAÇÃO. AF_12/2013</t>
  </si>
  <si>
    <t>36,19</t>
  </si>
  <si>
    <t xml:space="preserve"> 00036790 </t>
  </si>
  <si>
    <t>TANQUE DUPLO EM MARMORE SINTETICO COM CUBA LISA E ESFREGADOR, *110 X 60* CM</t>
  </si>
  <si>
    <t>145,89</t>
  </si>
  <si>
    <t xml:space="preserve"> SDC02031 </t>
  </si>
  <si>
    <t>161,41</t>
  </si>
  <si>
    <t xml:space="preserve"> 00036796 </t>
  </si>
  <si>
    <t>TORNEIRA CROMADA DE MESA PARA LAVATORIO TEMPORIZADA PRESSAO BICA BAIXA</t>
  </si>
  <si>
    <t>149,92</t>
  </si>
  <si>
    <t xml:space="preserve"> SDC07001 </t>
  </si>
  <si>
    <t>17,18</t>
  </si>
  <si>
    <t xml:space="preserve"> 00000187 </t>
  </si>
  <si>
    <t>11,00</t>
  </si>
  <si>
    <t xml:space="preserve"> SDC07002 </t>
  </si>
  <si>
    <t>24,48</t>
  </si>
  <si>
    <t xml:space="preserve"> 00011950 </t>
  </si>
  <si>
    <t>BUCHA DE NYLON SEM ABA S6, COM PARAFUSO DE 4,20 X 40 MM EM ACO ZINCADO COM ROSCA SOBERBA, CABECA CHATA E FENDA PHILLIPS</t>
  </si>
  <si>
    <t>0,20</t>
  </si>
  <si>
    <t xml:space="preserve"> 00000188 </t>
  </si>
  <si>
    <t>14,87</t>
  </si>
  <si>
    <t xml:space="preserve"> SDC07003 </t>
  </si>
  <si>
    <t>34,55</t>
  </si>
  <si>
    <t xml:space="preserve"> 00037558 </t>
  </si>
  <si>
    <t>28,37</t>
  </si>
  <si>
    <t xml:space="preserve"> SDC07004 </t>
  </si>
  <si>
    <t>79,41</t>
  </si>
  <si>
    <t xml:space="preserve"> 00000057 </t>
  </si>
  <si>
    <t>63,63</t>
  </si>
  <si>
    <t xml:space="preserve"> SDC07005 </t>
  </si>
  <si>
    <t>39,78</t>
  </si>
  <si>
    <t xml:space="preserve"> 00000206 </t>
  </si>
  <si>
    <t>17,68</t>
  </si>
  <si>
    <t xml:space="preserve"> SDC07006 </t>
  </si>
  <si>
    <t>596,65</t>
  </si>
  <si>
    <t xml:space="preserve"> 00000113 </t>
  </si>
  <si>
    <t>578,96</t>
  </si>
  <si>
    <t xml:space="preserve"> SDC07007 </t>
  </si>
  <si>
    <t>227,85</t>
  </si>
  <si>
    <t xml:space="preserve"> 00000079 </t>
  </si>
  <si>
    <t>121,71</t>
  </si>
  <si>
    <t xml:space="preserve"> SDC07008 </t>
  </si>
  <si>
    <t>21,40</t>
  </si>
  <si>
    <t xml:space="preserve"> 00037539 </t>
  </si>
  <si>
    <t>15,22</t>
  </si>
  <si>
    <t xml:space="preserve"> SDC03021 </t>
  </si>
  <si>
    <t>18,90</t>
  </si>
  <si>
    <t xml:space="preserve"> 00000277 </t>
  </si>
  <si>
    <t>17,37</t>
  </si>
  <si>
    <t xml:space="preserve"> SDC03022 </t>
  </si>
  <si>
    <t>4,13</t>
  </si>
  <si>
    <t xml:space="preserve"> 00000278 </t>
  </si>
  <si>
    <t>1,65</t>
  </si>
  <si>
    <t xml:space="preserve"> SDC03023 </t>
  </si>
  <si>
    <t>14,42</t>
  </si>
  <si>
    <t xml:space="preserve"> 00000279 </t>
  </si>
  <si>
    <t>4,47</t>
  </si>
  <si>
    <t xml:space="preserve"> SDC03009 </t>
  </si>
  <si>
    <t>25,66</t>
  </si>
  <si>
    <t xml:space="preserve"> 00020254 </t>
  </si>
  <si>
    <t>CAIXA DE PASSAGEM METALICA DE SOBREPOR COM TAMPA PARAFUSADA, DIMENSOES 15 X 15 X 10 CM</t>
  </si>
  <si>
    <t>16,04</t>
  </si>
  <si>
    <t xml:space="preserve"> SDC03024 </t>
  </si>
  <si>
    <t>5,06</t>
  </si>
  <si>
    <t xml:space="preserve"> 00000280 </t>
  </si>
  <si>
    <t>3,26</t>
  </si>
  <si>
    <t>1,55</t>
  </si>
  <si>
    <t>14,37</t>
  </si>
  <si>
    <t xml:space="preserve"> 00000266 </t>
  </si>
  <si>
    <t>ELETRODUTODE FERRO ZINCADO LEVE 3/4" X 3M</t>
  </si>
  <si>
    <t>13,58</t>
  </si>
  <si>
    <t xml:space="preserve"> SDC07026 </t>
  </si>
  <si>
    <t>163,21</t>
  </si>
  <si>
    <t>1,15</t>
  </si>
  <si>
    <t xml:space="preserve"> 00020973 </t>
  </si>
  <si>
    <t>UNIAO TIPO STORZ, COM EMPATACAO INTERNA TIPO ANEL DE EXPANSAO, ENGATE RAPIDO 1 1/2", PARA MANGUEIRA DE COMBATE A INCENDIO PREDIAL</t>
  </si>
  <si>
    <t>77,16</t>
  </si>
  <si>
    <t>0,282</t>
  </si>
  <si>
    <t xml:space="preserve"> 00020964 </t>
  </si>
  <si>
    <t>TAMPAO COM CORRENTE, EM LATAO, ENGATE RAPIDO 1 1/2", PARA INSTALACAO PREDIAL DE COMBATE A INCENDIO</t>
  </si>
  <si>
    <t>49,19</t>
  </si>
  <si>
    <t xml:space="preserve"> SDC07011 </t>
  </si>
  <si>
    <t>85,94</t>
  </si>
  <si>
    <t xml:space="preserve"> 00020966 </t>
  </si>
  <si>
    <t>ESGUICHO TIPO JATO SOLIDO, EM LATAO, ENGATE RAPIDO 1 1/2" X 19 MM, PARA MANGUEIRA EM INSTALACAO PREDIAL COMBATE A INCENDIO</t>
  </si>
  <si>
    <t>49,08</t>
  </si>
  <si>
    <t xml:space="preserve"> SDC07010 </t>
  </si>
  <si>
    <t>15,43</t>
  </si>
  <si>
    <t xml:space="preserve"> 00020971 </t>
  </si>
  <si>
    <t>CHAVE DUPLA PARA CONEXOES TIPO STORZ, ENGATE RAPIDO 1 1/2" X 2 1/2", EM LATAO, PARA INSTALACAO PREDIAL COMBATE A INCENDIO</t>
  </si>
  <si>
    <t>11,99</t>
  </si>
  <si>
    <t xml:space="preserve"> SDC07036 </t>
  </si>
  <si>
    <t>66,29</t>
  </si>
  <si>
    <t xml:space="preserve"> 00003148 </t>
  </si>
  <si>
    <t>FITA VEDA ROSCA EM ROLOS DE 18 MM X 50 M (L X C)</t>
  </si>
  <si>
    <t>10,29</t>
  </si>
  <si>
    <t xml:space="preserve"> 00000285 </t>
  </si>
  <si>
    <t>35,82</t>
  </si>
  <si>
    <t xml:space="preserve"> SDC07030 </t>
  </si>
  <si>
    <t>164,08</t>
  </si>
  <si>
    <t xml:space="preserve"> 00006011 </t>
  </si>
  <si>
    <t>REGISTRO GAVETA BRUTO EM LATAO FORJADO, BITOLA 2 1/2 " (REF 1509)</t>
  </si>
  <si>
    <t>127,22</t>
  </si>
  <si>
    <t xml:space="preserve"> SDC07037 </t>
  </si>
  <si>
    <t>272,33</t>
  </si>
  <si>
    <t xml:space="preserve"> 87292 </t>
  </si>
  <si>
    <t>ARGAMASSA TRAÇO 1:2:8 (CIMENTO, CAL E AREIA MÉDIA) PARA EMBOÇO/MASSA ÚNICA/ASSENTAMENTO DE ALVENARIA DE VEDAÇÃO, PREPARO MECÂNICO COM BETONEIRA 400 L. AF_06/2014</t>
  </si>
  <si>
    <t>0,002</t>
  </si>
  <si>
    <t>338,68</t>
  </si>
  <si>
    <t xml:space="preserve"> 00000270 </t>
  </si>
  <si>
    <t>271,32</t>
  </si>
  <si>
    <t xml:space="preserve"> SDC07015 </t>
  </si>
  <si>
    <t>56,99</t>
  </si>
  <si>
    <t xml:space="preserve"> 00000246 </t>
  </si>
  <si>
    <t>ACIONADOR MANUAL LIGA DESLIGA, BOTOEIRA, TIPO QUEBRA VIDRO, PARA ACIONAMENTO DA BOMBA DO HIDRANTE</t>
  </si>
  <si>
    <t>41,21</t>
  </si>
  <si>
    <t xml:space="preserve"> SDC07012 </t>
  </si>
  <si>
    <t>70,47</t>
  </si>
  <si>
    <t>0,52</t>
  </si>
  <si>
    <t xml:space="preserve"> 00000286 </t>
  </si>
  <si>
    <t>TUBO GALVANIZADO C/ROSCA 2 1/2", BARRA DE 6 METROS, ESPESSURA 3,5MM</t>
  </si>
  <si>
    <t>0,167</t>
  </si>
  <si>
    <t>323,19</t>
  </si>
  <si>
    <t xml:space="preserve"> SDC07040 </t>
  </si>
  <si>
    <t>8,97</t>
  </si>
  <si>
    <t xml:space="preserve"> 00000256 </t>
  </si>
  <si>
    <t>2,68</t>
  </si>
  <si>
    <t xml:space="preserve"> SDC04049 </t>
  </si>
  <si>
    <t>248,74</t>
  </si>
  <si>
    <t>3,86</t>
  </si>
  <si>
    <t>6,32</t>
  </si>
  <si>
    <t>0,1685</t>
  </si>
  <si>
    <t>31,048</t>
  </si>
  <si>
    <t xml:space="preserve"> 00004730 </t>
  </si>
  <si>
    <t>PEDRA DE MAO OU PEDRA RACHAO PARA ARRIMO/FUNDACAO (POSTO PEDREIRA/FORNECEDOR, SEM FRETE)</t>
  </si>
  <si>
    <t>0,138</t>
  </si>
  <si>
    <t>50,47</t>
  </si>
  <si>
    <t>17,908</t>
  </si>
  <si>
    <t>174,9</t>
  </si>
  <si>
    <t xml:space="preserve"> SDC07014 </t>
  </si>
  <si>
    <t>211,15</t>
  </si>
  <si>
    <t>1,34</t>
  </si>
  <si>
    <t>0,011</t>
  </si>
  <si>
    <t xml:space="preserve"> 00039682 </t>
  </si>
  <si>
    <t>CAIXA DE PROTECAO PARA 1 MEDIDOR TRIFASICO, EM CHAPA DE ACO 20 USG (PADRAO DA CONCESSIONARIA LOCAL)</t>
  </si>
  <si>
    <t>166,81</t>
  </si>
  <si>
    <t>4,86</t>
  </si>
  <si>
    <t xml:space="preserve"> SDC03130 </t>
  </si>
  <si>
    <t>242,97</t>
  </si>
  <si>
    <t xml:space="preserve"> 00000257 </t>
  </si>
  <si>
    <t>BLOCO LUMINÁRIA DE EMERGENCIA 1200 LUMENS</t>
  </si>
  <si>
    <t>210,87</t>
  </si>
  <si>
    <t xml:space="preserve"> SDC03011 </t>
  </si>
  <si>
    <t xml:space="preserve"> 00038774 </t>
  </si>
  <si>
    <t>LUMINARIA DE EMERGENCIA 30 LEDS, POTENCIA 2 W, BATERIA DE LITIO, AUTONOMIA DE 6 HORAS</t>
  </si>
  <si>
    <t>25,71</t>
  </si>
  <si>
    <t>Composições Auxiliares</t>
  </si>
  <si>
    <t>0,0121</t>
  </si>
  <si>
    <t>0,0743</t>
  </si>
  <si>
    <t xml:space="preserve"> 92794 </t>
  </si>
  <si>
    <t>CORTE E DOBRA DE AÇO CA-50, DIÂMETRO DE 10,0 MM, UTILIZADO EM ESTRUTURAS DIVERSAS, EXCETO LAJES. AF_12/2015</t>
  </si>
  <si>
    <t>6,75</t>
  </si>
  <si>
    <t>0,0089</t>
  </si>
  <si>
    <t>0,0542</t>
  </si>
  <si>
    <t xml:space="preserve"> 92795 </t>
  </si>
  <si>
    <t>CORTE E DOBRA DE AÇO CA-50, DIÂMETRO DE 12,5 MM, UTILIZADO EM ESTRUTURAS DIVERSAS, EXCETO LAJES. AF_12/2015</t>
  </si>
  <si>
    <t>5,76</t>
  </si>
  <si>
    <t xml:space="preserve"> 00039017 </t>
  </si>
  <si>
    <t>ESPACADOR / DISTANCIADOR CIRCULAR COM ENTRADA LATERAL, EM PLASTICO, PARA VERGALHAO *4,2 A 12,5* MM, COBRIMENTO 20 MM</t>
  </si>
  <si>
    <t>0,367</t>
  </si>
  <si>
    <t>0,13</t>
  </si>
  <si>
    <t>0,006</t>
  </si>
  <si>
    <t>0,0367</t>
  </si>
  <si>
    <t xml:space="preserve"> 92796 </t>
  </si>
  <si>
    <t>CORTE E DOBRA DE AÇO CA-50, DIÂMETRO DE 16,0 MM, UTILIZADO EM ESTRUTURAS DIVERSAS, EXCETO LAJES. AF_12/2015</t>
  </si>
  <si>
    <t>4,70</t>
  </si>
  <si>
    <t>0,0212</t>
  </si>
  <si>
    <t>0,0218</t>
  </si>
  <si>
    <t>0,133</t>
  </si>
  <si>
    <t xml:space="preserve"> 92792 </t>
  </si>
  <si>
    <t>CORTE E DOBRA DE AÇO CA-50, DIÂMETRO DE 6,3 MM, UTILIZADO EM ESTRUTURAS DIVERSAS, EXCETO LAJES. AF_12/2015</t>
  </si>
  <si>
    <t>7,92</t>
  </si>
  <si>
    <t>0,97</t>
  </si>
  <si>
    <t>0,0162</t>
  </si>
  <si>
    <t>0,0993</t>
  </si>
  <si>
    <t xml:space="preserve"> 92793 </t>
  </si>
  <si>
    <t>CORTE E DOBRA DE AÇO CA-50, DIÂMETRO DE 8,0 MM, UTILIZADO EM ESTRUTURAS DIVERSAS, EXCETO LAJES. AF_12/2015</t>
  </si>
  <si>
    <t>8,18</t>
  </si>
  <si>
    <t>0,743</t>
  </si>
  <si>
    <t>0,0285</t>
  </si>
  <si>
    <t>0,1743</t>
  </si>
  <si>
    <t xml:space="preserve"> 92791 </t>
  </si>
  <si>
    <t>CORTE E DOBRA DE AÇO CA-60, DIÂMETRO DE 5,0 MM, UTILIZADO EM ESTRUTURAS DIVERSAS, EXCETO LAJES. AF_12/2015</t>
  </si>
  <si>
    <t>1,19</t>
  </si>
  <si>
    <t xml:space="preserve"> 00000127 </t>
  </si>
  <si>
    <t>ADITIVO IMPERMEABILIZANTE DE PEGA ULTRARRAPIDA</t>
  </si>
  <si>
    <t>8,6</t>
  </si>
  <si>
    <t>11,39</t>
  </si>
  <si>
    <t xml:space="preserve"> 00003452 </t>
  </si>
  <si>
    <t>COTOVELO 90 GRAUS DE FERRO GALVANIZADO, COM ROSCA BSP MACHO/FEMEA, DE 2"</t>
  </si>
  <si>
    <t>36,04</t>
  </si>
  <si>
    <t>0,0112</t>
  </si>
  <si>
    <t xml:space="preserve"> 336 </t>
  </si>
  <si>
    <t>18KG</t>
  </si>
  <si>
    <t>0,1111</t>
  </si>
  <si>
    <t>63,26</t>
  </si>
  <si>
    <t>1,75</t>
  </si>
  <si>
    <t xml:space="preserve"> 00000219 </t>
  </si>
  <si>
    <t>496,02</t>
  </si>
  <si>
    <t xml:space="preserve"> 00034345 </t>
  </si>
  <si>
    <t>VIGIA DIURNO</t>
  </si>
  <si>
    <t>Mão de Obra</t>
  </si>
  <si>
    <t>8,98</t>
  </si>
  <si>
    <t xml:space="preserve"> 00037370 </t>
  </si>
  <si>
    <t>ALIMENTACAO - HORISTA (ENCARGOS COMPLEMENTARES) (COLETADO CAIXA)</t>
  </si>
  <si>
    <t>Outros</t>
  </si>
  <si>
    <t>2,15</t>
  </si>
  <si>
    <t xml:space="preserve"> 00037371 </t>
  </si>
  <si>
    <t>TRANSPORTE - HORISTA (ENCARGOS COMPLEMENTARES) (COLETADO CAIXA)</t>
  </si>
  <si>
    <t xml:space="preserve"> 00037372 </t>
  </si>
  <si>
    <t>EXAMES - HORISTA (ENCARGOS COMPLEMENTARES) (COLETADO CAIXA)</t>
  </si>
  <si>
    <t xml:space="preserve"> 00037373 </t>
  </si>
  <si>
    <t>SEGURO - HORISTA (ENCARGOS COMPLEMENTARES) (COLETADO CAIXA)</t>
  </si>
  <si>
    <t>Taxas</t>
  </si>
  <si>
    <t>COMPOSIÇÕES PRÓPRIAS</t>
  </si>
  <si>
    <t>Unidade</t>
  </si>
  <si>
    <t xml:space="preserve">SDC02002 </t>
  </si>
  <si>
    <t>ORSE 1083</t>
  </si>
  <si>
    <t>ORSE 1085</t>
  </si>
  <si>
    <t>SEINFRA C3586</t>
  </si>
  <si>
    <t>SAOP CO1004</t>
  </si>
  <si>
    <t>ORSE 1583</t>
  </si>
  <si>
    <t>SAOP CO1005</t>
  </si>
  <si>
    <t>ORSE 1666</t>
  </si>
  <si>
    <t>PROJETO</t>
  </si>
  <si>
    <t>ORSE 1077</t>
  </si>
  <si>
    <t>SIURB-SP 15505</t>
  </si>
  <si>
    <t>SIURB-SP 15512</t>
  </si>
  <si>
    <t>SINAPI 88489</t>
  </si>
  <si>
    <t>COTAÇÃO DE MERCADO</t>
  </si>
  <si>
    <t>SINAPI 94582</t>
  </si>
  <si>
    <t>ORSE 2657</t>
  </si>
  <si>
    <t>SINAPI 87242</t>
  </si>
  <si>
    <t>SINAPI 73838/001</t>
  </si>
  <si>
    <t>SINAPI 94213</t>
  </si>
  <si>
    <t>COBE- COBERTURA</t>
  </si>
  <si>
    <t>ORSE 811</t>
  </si>
  <si>
    <t>ORSE 10176</t>
  </si>
  <si>
    <t>IOPES 160322</t>
  </si>
  <si>
    <t xml:space="preserve">SINAPI 73953/002 </t>
  </si>
  <si>
    <t>CPOS 40.02.040</t>
  </si>
  <si>
    <t>ORSE 10765</t>
  </si>
  <si>
    <t>ORSE 4718</t>
  </si>
  <si>
    <t>SUDECAP 11.92.38</t>
  </si>
  <si>
    <t>ORSE 9831</t>
  </si>
  <si>
    <t>ORSE 10426</t>
  </si>
  <si>
    <t>ORSE 9051</t>
  </si>
  <si>
    <t>ORSE 8739</t>
  </si>
  <si>
    <t>SIURB 91194</t>
  </si>
  <si>
    <t>ORSE 2279</t>
  </si>
  <si>
    <t>ORSE 4273</t>
  </si>
  <si>
    <t>ORSE 9503</t>
  </si>
  <si>
    <t>ORSE 1089</t>
  </si>
  <si>
    <t>ORSE 2056</t>
  </si>
  <si>
    <t>SINAPI 40729</t>
  </si>
  <si>
    <t>ORSE 10073</t>
  </si>
  <si>
    <t>SINAPI 83645</t>
  </si>
  <si>
    <t>ORSE 9419</t>
  </si>
  <si>
    <t>SINAPI 86943</t>
  </si>
  <si>
    <t>SINAPI 79267</t>
  </si>
  <si>
    <t>ORSE 7610</t>
  </si>
  <si>
    <t>EXECUÇÃO DE ESCOVÓDROMO EM ALVENARIA. INSTALAÇÕES DE ÁGUA E ESGOTO ENCONTRAM-SE NO ITEM INSTALAÇÕES HIDRO-SANITÁRIAS</t>
  </si>
  <si>
    <t>SINAPI 73876/001</t>
  </si>
  <si>
    <t>SUDECAP 13.40.59</t>
  </si>
  <si>
    <t>SETOP ACE-BAR-005</t>
  </si>
  <si>
    <t>SEINFRA C4624</t>
  </si>
  <si>
    <t>SEINFRA C0864</t>
  </si>
  <si>
    <t>CPOS-SP 04.08.080</t>
  </si>
  <si>
    <t>SINAPI - I25398</t>
  </si>
  <si>
    <t>SINAPI - I25399</t>
  </si>
  <si>
    <t>IOPES 200706</t>
  </si>
  <si>
    <t>SINAPI-I25400</t>
  </si>
  <si>
    <t>ORSE 10620</t>
  </si>
  <si>
    <t>FORNECIMENTO E INSTALAÇÃO DE LETRA CAIXA CAIXA, EM AÇO GALVANIZADO, PARA LETREIRO COM NOME DA INSTITUIÇÃO</t>
  </si>
  <si>
    <t>ORSE 3167</t>
  </si>
  <si>
    <t>ORSE 7853</t>
  </si>
  <si>
    <t>SEINFRA C1803</t>
  </si>
  <si>
    <t>ORSE 10759</t>
  </si>
  <si>
    <t>ORSE 10563</t>
  </si>
  <si>
    <t>ORSE 10832</t>
  </si>
  <si>
    <t>ORSE 824</t>
  </si>
  <si>
    <t>ORSE 10903</t>
  </si>
  <si>
    <t>ORSE 3477</t>
  </si>
  <si>
    <t>CABO DE COBRE ISOLADO EM EPR FLEXÍVEL 10MM2 - 0,6KV/1KV/90°</t>
  </si>
  <si>
    <t>ORSE 9205</t>
  </si>
  <si>
    <t>CABO DE COBRE ISOLADO EM EPR FLEXÍVEL 50MM2 - 0,6KV/1KV/90°</t>
  </si>
  <si>
    <t>ORSE 7917</t>
  </si>
  <si>
    <t>ORSE 8071</t>
  </si>
  <si>
    <t>ORSE 9045</t>
  </si>
  <si>
    <t xml:space="preserve">LOCAÇÃO DE CONTAINER 2,30 X 4,30 M, ALT. 2,50 M, PARA SANITARIO, COM 3 BACIAS, 4 CHUVEIROS, 1 LAVATORIO E 1 MICTORIO </t>
  </si>
  <si>
    <t>ORSE 4656</t>
  </si>
  <si>
    <t>SEINFRA - C1622</t>
  </si>
  <si>
    <t>SEDOP 241468</t>
  </si>
  <si>
    <t>IOPES 160612</t>
  </si>
  <si>
    <t>ORSE 7861</t>
  </si>
  <si>
    <t>ORSE 8503</t>
  </si>
  <si>
    <t>ORSE 8058</t>
  </si>
  <si>
    <t>ORSE 8693</t>
  </si>
  <si>
    <t>SINAPI 68066</t>
  </si>
  <si>
    <t>ORSE 1510</t>
  </si>
  <si>
    <t>FORNECIMENTO E INSTALAÇÃO DE PORTA METÁLICA, 90X2,10M, CHAPA LISA Nº18, INCLUSIVE FECHADURA TIPO TRINCO ROLETE E GUARNIÇÕES - CONFORME ESPECIFICAÇÃO TÉCNICA SED</t>
  </si>
  <si>
    <t>SEDOP 090822</t>
  </si>
  <si>
    <t xml:space="preserve"> SDC02029</t>
  </si>
  <si>
    <t>GRELHA PARA RALO EM PVC BRANCO 15X15</t>
  </si>
  <si>
    <t>ORSE 10909</t>
  </si>
  <si>
    <t>ORSE 10786</t>
  </si>
  <si>
    <t xml:space="preserve"> SDC07010</t>
  </si>
  <si>
    <t>SETOP-MG / INC-CHA-005</t>
  </si>
  <si>
    <t xml:space="preserve"> SDC03020</t>
  </si>
  <si>
    <t xml:space="preserve"> SDC07037</t>
  </si>
  <si>
    <t>ORSE 10332</t>
  </si>
  <si>
    <t xml:space="preserve"> SDC03120</t>
  </si>
  <si>
    <t>ORSE 9477</t>
  </si>
  <si>
    <t xml:space="preserve"> SDC03121</t>
  </si>
  <si>
    <t xml:space="preserve"> SDC03128</t>
  </si>
  <si>
    <t xml:space="preserve"> SDC07040</t>
  </si>
  <si>
    <t xml:space="preserve"> SDC03130</t>
  </si>
  <si>
    <t>LUMINARIA DE EMERGENCIA 960 LUMENS DE 24 LEDS, POTENCIA 4 W, BATERIA DE LITIO, AUTONOMIA DE 3 HRS</t>
  </si>
  <si>
    <t>ORSE 7860</t>
  </si>
  <si>
    <t xml:space="preserve"> SDC03021</t>
  </si>
  <si>
    <t>SEINFRA C 1181</t>
  </si>
  <si>
    <t xml:space="preserve"> SDC03022</t>
  </si>
  <si>
    <t>SEDOP 171339</t>
  </si>
  <si>
    <t xml:space="preserve"> SDC03023</t>
  </si>
  <si>
    <t>SEDOP 171345</t>
  </si>
  <si>
    <t xml:space="preserve"> SDC03024</t>
  </si>
  <si>
    <t xml:space="preserve"> SDC07011</t>
  </si>
  <si>
    <t xml:space="preserve"> SDC07012</t>
  </si>
  <si>
    <t>SINAPI 92342</t>
  </si>
  <si>
    <t xml:space="preserve"> INES - INSTALAÇÕES ESPECIAIS</t>
  </si>
  <si>
    <t xml:space="preserve"> SDC07026</t>
  </si>
  <si>
    <t xml:space="preserve"> SDC07030</t>
  </si>
  <si>
    <t>ORSE 9254</t>
  </si>
  <si>
    <t xml:space="preserve"> SDC07036</t>
  </si>
  <si>
    <t>SINAPI 94474</t>
  </si>
  <si>
    <t xml:space="preserve"> SDC02082</t>
  </si>
  <si>
    <t>ORSE 1582</t>
  </si>
  <si>
    <t>SINAPI 74072/003</t>
  </si>
  <si>
    <t xml:space="preserve"> SDC01104</t>
  </si>
  <si>
    <t xml:space="preserve"> SDC01108</t>
  </si>
  <si>
    <t>SINAPI 74245/001</t>
  </si>
  <si>
    <t xml:space="preserve"> SDC01116</t>
  </si>
  <si>
    <t>SINAPI 74100/001</t>
  </si>
  <si>
    <t xml:space="preserve">ESQV - ESQUADRIAS/FERRAGENS/VIDROS </t>
  </si>
  <si>
    <t xml:space="preserve"> SDC02118</t>
  </si>
  <si>
    <t xml:space="preserve"> SDC07027</t>
  </si>
  <si>
    <t>ORSE 10882</t>
  </si>
  <si>
    <t>GRADE DE FERRO PADRÃO ESCOLA COM MURETA DE ALVENARIA H:0,40M E GRADIL EM BARRA CHATA COM 1,80M DE ALTURA, TOTALIZANDO 2,20M DE ALTURA (INCLUSO PINTURA)</t>
  </si>
  <si>
    <t xml:space="preserve">REVE - REVESTIMENTO E TRATAMENTO DE SUPERFÍCIES </t>
  </si>
  <si>
    <t>CONCRETO USINADO BOMBEAVEL, CLASSE CONCRETO USINADO BOMBEAVEL, CLASSE DE RESISTENCIA C25, COM BRITA 0 E 1, SLUMP = 100 +/- 20 MM, BOMBEADO, LANÇADO E ADENSADO EM ESTRUTURA.</t>
  </si>
  <si>
    <t>ORSE 98</t>
  </si>
  <si>
    <t xml:space="preserve"> SDC01199</t>
  </si>
  <si>
    <t>ORSE 9014</t>
  </si>
  <si>
    <t>EXECUÇÃO DE SONDAGEM À PERCUSSÃO SPT - REGIÃO DE CUIABÁ</t>
  </si>
  <si>
    <t>2.11</t>
  </si>
  <si>
    <t xml:space="preserve"> SDC01228 </t>
  </si>
  <si>
    <t>1.000,00</t>
  </si>
  <si>
    <t xml:space="preserve"> 693 </t>
  </si>
  <si>
    <t>kg</t>
  </si>
  <si>
    <t>SOLOTECNICA ENGENHARIA E SONDAGENS</t>
  </si>
  <si>
    <t>3634-4955</t>
  </si>
  <si>
    <t>ELIEZER</t>
  </si>
  <si>
    <t>NACON SONDAGENS</t>
  </si>
  <si>
    <t>20.269.958/0001-90</t>
  </si>
  <si>
    <t>3621-4600</t>
  </si>
  <si>
    <t>FREDERICO</t>
  </si>
  <si>
    <t>FUNSOLOS CONSTRUTORA E ENGENHARIA LTDA</t>
  </si>
  <si>
    <t>3637-5900</t>
  </si>
  <si>
    <t>COMPOSIÇÃO 2</t>
  </si>
  <si>
    <t>ADMINISTRAÇÃO LOCAL DE OBRA</t>
  </si>
  <si>
    <t>SERVIÇOS  TÉCNICOS</t>
  </si>
  <si>
    <t>73822/002</t>
  </si>
  <si>
    <t>LIMPEZA MECANIZADA DE TERRENO COM REMOCAO DE CAMADA VEGETAL, UTILIZANDO MOTONIVELADORA</t>
  </si>
  <si>
    <t>73847/001</t>
  </si>
  <si>
    <t>ALUGUEL CONTAINER/ESCRIT INCL INST ELET LARG=2,20 COMP=6,20M          ALT=2,50M CHAPA ACO C/NERV TRAPEZ FORRO C/ISOL TERMO/ACUSTICO         CHASSIS REFORC PISO COMPENS NAVAL EXC TRANSP/CARGA/DESCARGA</t>
  </si>
  <si>
    <t>EXECUÇÃO DE ALMOXARIFADO EM CANTEIRO DE OBRA EM CHAPA DE MADEIRA COMPENSADA, INCLUSO PRATELEIRAS. AF_02/2016</t>
  </si>
  <si>
    <t>74220/001</t>
  </si>
  <si>
    <t>TAPUME DE CHAPA DE MADEIRA COMPENSADA, E= 6MM, COM PINTURA A CAL E REAPROVEITAMENTO DE 2X</t>
  </si>
  <si>
    <t>ENTRADA DE ENERGIA ELÉTRICA AÉREA MONOFÁSICA 50A COM POSTE DE CONCRETO, INCLUSIVE CABEAMENTO, CAIXA DE PROTEÇÃO PARA MEDIDOR E ATERRAMENTO.</t>
  </si>
  <si>
    <t>ARQUITETÔNICO</t>
  </si>
  <si>
    <t>CALHA EM CHAPA DE AÇO GALVANIZADO NÚMERO 24, DESENVOLVIMENTO DE 50 CM, INCLUSO TRANSPORTE VERTICAL. AF_06/2016</t>
  </si>
  <si>
    <t>RUFO EM CHAPA DE AÇO GALVANIZADO NÚMERO 24, CORTE DE 25 CM, INCLUSO TRANSPORTE VERTICAL. AF_06/2016</t>
  </si>
  <si>
    <t>ESQUADRIAS BLOCO DAS SALAS</t>
  </si>
  <si>
    <t>SDC01029</t>
  </si>
  <si>
    <t>PORTA DE VIDRO TEMPERADO, 1,00X2,10M, ESPESSURA 10MM, INCLUSIVE ACESSORIOS</t>
  </si>
  <si>
    <t>SDC01030</t>
  </si>
  <si>
    <t>PORTA DE VIDRO TEMPERADO, 2,00X2,10M, DUAS FOLHAS, ESPESSURA 10MM, INCLUSIVE ACESSORIOS</t>
  </si>
  <si>
    <t>SDC04024</t>
  </si>
  <si>
    <t>FORNECIMENTO E INSTALAÇÃO DE PELE DE VIDRO</t>
  </si>
  <si>
    <t>4.2.5</t>
  </si>
  <si>
    <t>4.2.6</t>
  </si>
  <si>
    <t>4.2.7</t>
  </si>
  <si>
    <t>4.2.8</t>
  </si>
  <si>
    <t>4.2.9</t>
  </si>
  <si>
    <t>4.2.10</t>
  </si>
  <si>
    <t>VERGA E CONTRA-VERGA BLOCO DE SALAS</t>
  </si>
  <si>
    <t>4.4.1</t>
  </si>
  <si>
    <t>4.5</t>
  </si>
  <si>
    <t>4.5.1</t>
  </si>
  <si>
    <t>CHAPISCO APLICADO NO TETO, COM ROLO PARA TEXTURA ACRÍLICA. ARGAMASSA TRAÇO 1:4 E EMULSÃO POLIMÉRICA (ADESIVO) COM PREPARO EM BETONEIRA 400L. AF_06/2014</t>
  </si>
  <si>
    <t>MASSA ÚNICA, PARA RECEBIMENTO DE PINTURA, EM ARGAMASSA TRAÇO 1:2:8, PREPARO MECÂNICO COM BETONEIRA 400L, APLICADA MANUALMENTE EM TETO, ESPESSURA DE 10MM, COM EXECUÇÃO DE TALISCAS. AF_03/2015</t>
  </si>
  <si>
    <t>4.5.2</t>
  </si>
  <si>
    <t>4.5.3</t>
  </si>
  <si>
    <t>4.5.4</t>
  </si>
  <si>
    <t>4.5.5</t>
  </si>
  <si>
    <t>4.5.6</t>
  </si>
  <si>
    <t>4.5.7</t>
  </si>
  <si>
    <t>4.6</t>
  </si>
  <si>
    <t>4.6.1</t>
  </si>
  <si>
    <t>ELEMENTOS DE VEDAÇÃO BLOCO DE SALAS</t>
  </si>
  <si>
    <t>REVESTIMENTO BLOCO DE SALAS</t>
  </si>
  <si>
    <t>PISOS BLOCO DE SALAS</t>
  </si>
  <si>
    <t>4.6.2</t>
  </si>
  <si>
    <t>4.6.3</t>
  </si>
  <si>
    <t>4.6.4</t>
  </si>
  <si>
    <t>4.6.5</t>
  </si>
  <si>
    <t>4.6.6</t>
  </si>
  <si>
    <t>4.6.7</t>
  </si>
  <si>
    <t>SDC01096</t>
  </si>
  <si>
    <t>SOLEIRA DE GRANITO BRANCO ITAÚNA, LARGURA 15CM, ESPESSURA 3CM, ASSENTADA SOBRE ARGAMASSA TRACO 1:4 (CIMENTO E AREIA)</t>
  </si>
  <si>
    <t>EXECUÇÃO DE PASSEIO (CALÇADA) OU PISO DE CONCRETO COM CONCRETO MOLDADO IN LOCO, USINADO, ACABAMENTO CONVENCIONAL, ESPESSURA 10 CM, ARMADO. AF_07/2016</t>
  </si>
  <si>
    <t>GUIA (MEIO-FIO) CONCRETO, MOLDADA  IN LOCO  EM TRECHO RETO COM EXTRUSORA, 11,5 CM BASE X 22 CM ALTURA. AF_06/2016</t>
  </si>
  <si>
    <t>GUIA (MEIO-FIO) CONCRETO, MOLDADA  IN LOCO  EM TRECHO CURVO COM EXTRUSORA, 11,5 CM BASE X 22 CM ALTURA. AF_06/2016</t>
  </si>
  <si>
    <t>EXECUÇÃO DE PÁTIO/ESTACIONAMENTO EM PISO INTERTRAVADO, COM BLOCO RETANGULAR COR NATURAL DE 20 X 10 CM, ESPESSURA 8 CM. AF_12/2015</t>
  </si>
  <si>
    <t>4.7</t>
  </si>
  <si>
    <t>4.7.1</t>
  </si>
  <si>
    <t>4.7.2</t>
  </si>
  <si>
    <t>4.7.3</t>
  </si>
  <si>
    <t>4.7.4</t>
  </si>
  <si>
    <t>4.7.5</t>
  </si>
  <si>
    <t>4.7.6</t>
  </si>
  <si>
    <t>4.7.7</t>
  </si>
  <si>
    <t>4.7.8</t>
  </si>
  <si>
    <t>4.7.9</t>
  </si>
  <si>
    <t>4.7.10</t>
  </si>
  <si>
    <t>PINTURA BLOCO DE SALAS</t>
  </si>
  <si>
    <t>APLICAÇÃO E LIXAMENTO DE MASSA LÁTEX EM PAREDES, DUAS DEMÃOS. AF_06/2014</t>
  </si>
  <si>
    <t>APLICAÇÃO E LIXAMENTO DE MASSA LÁTEX EM TETO, DUAS DEMÃOS. AF_06/2014</t>
  </si>
  <si>
    <t>APLICAÇÃO DE FUNDO SELADOR LÁTEX PVA EM TETO, UMA DEMÃO. AF_06/2014</t>
  </si>
  <si>
    <t>APLICAÇÃO MANUAL DE PINTURA COM TINTA LÁTEX PVA EM TETO, DUAS DEMÃOS. AF_06/2014</t>
  </si>
  <si>
    <t>SDC01019</t>
  </si>
  <si>
    <t>APLICAÇÃO DE LIQUIBRILHO SOBRE PINTURAS, DUAS DEMÃOS</t>
  </si>
  <si>
    <t>4.8</t>
  </si>
  <si>
    <t>4.8.1</t>
  </si>
  <si>
    <t>4.8.2</t>
  </si>
  <si>
    <t>4.9</t>
  </si>
  <si>
    <t>4.9.1</t>
  </si>
  <si>
    <t>SDC04061</t>
  </si>
  <si>
    <t>FORNECIMENTO E PLANTIO DE PERIQUITÃO</t>
  </si>
  <si>
    <t>73967/002</t>
  </si>
  <si>
    <t>PLANTIO DE ARVORE REGIONAL, ALTURA MAIOR QUE 2,00M, EM CAVAS DE 80X80X80CM</t>
  </si>
  <si>
    <t>SDC04062</t>
  </si>
  <si>
    <t>FORNECIMENTO E PLANTIO DE PRIMAVERA 1,00M DE ALTURA EM CAVA DE 60X60X60CM</t>
  </si>
  <si>
    <t>FORROS E DIVISÓRIAS BLOCO DE SALAS</t>
  </si>
  <si>
    <t>4.9.2</t>
  </si>
  <si>
    <t>4.9.3</t>
  </si>
  <si>
    <t>4.9.4</t>
  </si>
  <si>
    <t>4.9.5</t>
  </si>
  <si>
    <t>4.9.6</t>
  </si>
  <si>
    <t>SDC04044</t>
  </si>
  <si>
    <t>FORNECIMENTO E INSTALAÇÃO DE BICICLETARIO METALICO, CONFORME PROJETO PADRÃO SEDUC</t>
  </si>
  <si>
    <t>SDC04022</t>
  </si>
  <si>
    <t>FORNECIMENTO E MONTAGEM DE KIT PLAYGROUND, METALICO, CONTENDO: GIRA-GIRA 7 LUGARES; BALANÇO 4 LUGARES; ESCORREGADOR GRANDE; GANGORRA DUPLA E CASINHA CONJUGADA</t>
  </si>
  <si>
    <t>SDC04027</t>
  </si>
  <si>
    <t>SDC01081</t>
  </si>
  <si>
    <t>FORNECIMENTO E INSTALAÇÃO DE COBERTURA EM POLICARBONATO COMPACTO, 3MM, COR CINZA</t>
  </si>
  <si>
    <t>SDC01095</t>
  </si>
  <si>
    <t>BRISE METÁLICO, COM PINTURA ESMALTE SINTÉTICO, DIMENSÃO DO METALON 40X30CM E CHAPA 18</t>
  </si>
  <si>
    <t>SDC01101</t>
  </si>
  <si>
    <t>PEITORIL EM GRANITO BRANCO, TIPO ITAUNAS, LARGURA DE 15CM, ASSENTADO COM ARGAMASSA TRACO 1:4 (CIMENTO E AREIA MEDIA), PREPARO MANUAL DA ARGAMASSA</t>
  </si>
  <si>
    <t>SDC04067</t>
  </si>
  <si>
    <t>BANCO EM ESTRUTURA METÁLICA, METALON 50X50, CHAPA 14 COM PINTURA ESMALTE</t>
  </si>
  <si>
    <t>4.10</t>
  </si>
  <si>
    <t>4.10.1</t>
  </si>
  <si>
    <t>4.10.2</t>
  </si>
  <si>
    <t>4.10.3</t>
  </si>
  <si>
    <t>4.10.4</t>
  </si>
  <si>
    <t>4.10.5</t>
  </si>
  <si>
    <t>4.10.6</t>
  </si>
  <si>
    <t>4.10.7</t>
  </si>
  <si>
    <t>4.10.8</t>
  </si>
  <si>
    <t>4.10.9</t>
  </si>
  <si>
    <t>4.10.10</t>
  </si>
  <si>
    <t>4.10.11</t>
  </si>
  <si>
    <t>4.10.12</t>
  </si>
  <si>
    <t>4.10.13</t>
  </si>
  <si>
    <t>4.10.14</t>
  </si>
  <si>
    <t>4.10.15</t>
  </si>
  <si>
    <t>4.10.16</t>
  </si>
  <si>
    <t>4.10.17</t>
  </si>
  <si>
    <t>4.10.18</t>
  </si>
  <si>
    <t>4.10.19</t>
  </si>
  <si>
    <t>4.10.20</t>
  </si>
  <si>
    <t>4.11</t>
  </si>
  <si>
    <t>4.11.1</t>
  </si>
  <si>
    <t>SDC04045</t>
  </si>
  <si>
    <t>FITA ADESIVA FOTO LUMINESCENTE</t>
  </si>
  <si>
    <t>SDC01038</t>
  </si>
  <si>
    <t>APLICAÇÃO MANUAL DE PINTURA COM TINTA ESMALTE SINTETICO BRILHO, EM PAREDES, DUAS DEMÃOS  ( Linha Pantone 2758U)</t>
  </si>
  <si>
    <t>SDC04051</t>
  </si>
  <si>
    <t>FORNECIMENTO E INSTALAÇÃO DE ANEL DE TEXTURA PARA CORRIMÃO, EM BORRACHA</t>
  </si>
  <si>
    <t>PINTURA ACRILICA PARA SINALIZAÇÃO HORIZONTAL EM PISO CIMENTADO</t>
  </si>
  <si>
    <t>4.11.2</t>
  </si>
  <si>
    <t>4.11.3</t>
  </si>
  <si>
    <t>4.11.4</t>
  </si>
  <si>
    <t>4.11.5</t>
  </si>
  <si>
    <t>4.11.6</t>
  </si>
  <si>
    <t>4.11.7</t>
  </si>
  <si>
    <t>4.11.8</t>
  </si>
  <si>
    <t>4.11.9</t>
  </si>
  <si>
    <t>4.11.10</t>
  </si>
  <si>
    <t>4.12</t>
  </si>
  <si>
    <t>TUBO DE AÇO PRETO SEM COSTURA, CLASSE MÉDIA, CONEXÃO SOLDADA, DN 15 (1/2"), INSTALADO EM RAMAIS E SUB-RAMAIS DE GÁS - FORNECIMENTO E INSTALAÇÃO. AF_12/2015</t>
  </si>
  <si>
    <t>TÊ, EM FERRO GALVANIZADO, CONEXÃO ROSQUEADA, DN 20 (3/4"), INSTALADO EM RAMAIS E SUB-RAMAIS DE GÁS - FORNECIMENTO E INSTALAÇÃO. AF_12/2015</t>
  </si>
  <si>
    <t>JOELHO 90 GRAUS, EM FERRO GALVANIZADO, CONEXÃO ROSQUEADA, DN 15 (1/2"), INSTALADO EM RAMAIS E SUB-RAMAIS DE GÁS - FORNECIMENTO E INSTALAÇÃO. AF_12/2015</t>
  </si>
  <si>
    <t>TÊ, EM FERRO GALVANIZADO, CONEXÃO ROSQUEADA, DN 15 (1/2"), INSTALADO EM RAMAIS E SUB-RAMAIS DE GÁS - FORNECIMENTO E INSTALAÇÃO. AF_12/2015</t>
  </si>
  <si>
    <t>4.12.1</t>
  </si>
  <si>
    <t>4.12.2</t>
  </si>
  <si>
    <t>4.12.3</t>
  </si>
  <si>
    <t>4.12.4</t>
  </si>
  <si>
    <t>4.12.5</t>
  </si>
  <si>
    <t>4.12.6</t>
  </si>
  <si>
    <t>4.12.7</t>
  </si>
  <si>
    <t>4.12.8</t>
  </si>
  <si>
    <t>4.12.9</t>
  </si>
  <si>
    <t>4.12.10</t>
  </si>
  <si>
    <t>4.12.11</t>
  </si>
  <si>
    <t>4.12.12</t>
  </si>
  <si>
    <t>4.12.13</t>
  </si>
  <si>
    <t>4.12.14</t>
  </si>
  <si>
    <t>LIMPEZA FINAL BLOCO DE SALAS</t>
  </si>
  <si>
    <t>4.13</t>
  </si>
  <si>
    <t>4.13.1</t>
  </si>
  <si>
    <t>4.13.2</t>
  </si>
  <si>
    <t>4.13.3</t>
  </si>
  <si>
    <t>4.14</t>
  </si>
  <si>
    <t>4.15</t>
  </si>
  <si>
    <t>4.14.1</t>
  </si>
  <si>
    <t>4.15.1</t>
  </si>
  <si>
    <t>ESQUARIAS REFEITÓRIO</t>
  </si>
  <si>
    <t>4.15.2</t>
  </si>
  <si>
    <t>4.15.3</t>
  </si>
  <si>
    <t>4.15.4</t>
  </si>
  <si>
    <t>VERGA E CONTRA-VERGA REFEITÓRIO</t>
  </si>
  <si>
    <t>4.16</t>
  </si>
  <si>
    <t>4.16.1</t>
  </si>
  <si>
    <t>4.16.2</t>
  </si>
  <si>
    <t>4.16.3</t>
  </si>
  <si>
    <t>4.16.4</t>
  </si>
  <si>
    <t>4.16.5</t>
  </si>
  <si>
    <t>4.17</t>
  </si>
  <si>
    <t>4.17.1</t>
  </si>
  <si>
    <t>ELEMENTOS DE VEDAÇÃO REFEITÓRIO</t>
  </si>
  <si>
    <t>REVESTIMENTO REFEITÓRIO</t>
  </si>
  <si>
    <t>EMBOÇO, PARA RECEBIMENTO DE CERÂMICA, EM ARGAMASSA TRAÇO 1:2:8, PREPARO MECÂNICO COM BETONEIRA 400L, APLICADO MANUALMENTE EM FACES INTERNAS DE PAREDES, PARA AMBIENTE COM ÁREA MAIOR QUE 10M2, ESPESSURA DE 10MM, COM EXECUÇÃO DE TALISCAS. AF_06/2014</t>
  </si>
  <si>
    <t>4.18</t>
  </si>
  <si>
    <t>4.18.1</t>
  </si>
  <si>
    <t>4.18.2</t>
  </si>
  <si>
    <t>4.18.3</t>
  </si>
  <si>
    <t>4.18.4</t>
  </si>
  <si>
    <t>4.18.5</t>
  </si>
  <si>
    <t>4.18.6</t>
  </si>
  <si>
    <t>4.18.7</t>
  </si>
  <si>
    <t>4.19</t>
  </si>
  <si>
    <t>4.19.1</t>
  </si>
  <si>
    <t>PISOS REFEITÓRIO</t>
  </si>
  <si>
    <t>4.19.2</t>
  </si>
  <si>
    <t>4.19.3</t>
  </si>
  <si>
    <t>4.19.4</t>
  </si>
  <si>
    <t>4.20</t>
  </si>
  <si>
    <t>4.20.1</t>
  </si>
  <si>
    <t>4.20.2</t>
  </si>
  <si>
    <t>4.20.3</t>
  </si>
  <si>
    <t>4.20.4</t>
  </si>
  <si>
    <t>4.20.5</t>
  </si>
  <si>
    <t>4.20.6</t>
  </si>
  <si>
    <t>4.20.7</t>
  </si>
  <si>
    <t>4.20.8</t>
  </si>
  <si>
    <t>4.21</t>
  </si>
  <si>
    <t>4.21.1</t>
  </si>
  <si>
    <t>73937/001</t>
  </si>
  <si>
    <t>COBOGO DE CONCRETO (ELEMENTO VAZADO), 7X50X50CM, ASSENTADO COM ARGAMASSA TRACO 1:4 (CIMENTO E AREIA)</t>
  </si>
  <si>
    <t>PINTURA REFEITÓRIO</t>
  </si>
  <si>
    <t>SERVIÇOS CONSTRUTIVOS COMPLEMENTARES REFEITÓRIO</t>
  </si>
  <si>
    <t>4.21.2</t>
  </si>
  <si>
    <t>4.21.3</t>
  </si>
  <si>
    <t>4.21.4</t>
  </si>
  <si>
    <t>4.21.5</t>
  </si>
  <si>
    <t>4.21.6</t>
  </si>
  <si>
    <t>4.21.7</t>
  </si>
  <si>
    <t>4.22</t>
  </si>
  <si>
    <t>4.22.1</t>
  </si>
  <si>
    <t>LIMPEZA DA OBRA REFEITÓRIO</t>
  </si>
  <si>
    <t>4.23</t>
  </si>
  <si>
    <t>4.23.1</t>
  </si>
  <si>
    <t>4.24</t>
  </si>
  <si>
    <t>4.24.1</t>
  </si>
  <si>
    <t>4.24.2</t>
  </si>
  <si>
    <t>4.24.3</t>
  </si>
  <si>
    <t>4.23.2</t>
  </si>
  <si>
    <t>4.23.3</t>
  </si>
  <si>
    <t>4.25</t>
  </si>
  <si>
    <t>ESQUADRIAS QUADRA</t>
  </si>
  <si>
    <t>4.25.1</t>
  </si>
  <si>
    <t>4.25.2</t>
  </si>
  <si>
    <t>4.25.3</t>
  </si>
  <si>
    <t>VERGA E CONTRA-VERGA QUADRA</t>
  </si>
  <si>
    <t>4.26</t>
  </si>
  <si>
    <t>4.26.1</t>
  </si>
  <si>
    <t>4.26.2</t>
  </si>
  <si>
    <t>4.26.3</t>
  </si>
  <si>
    <t>4.26.4</t>
  </si>
  <si>
    <t>4.26.5</t>
  </si>
  <si>
    <t>4.27</t>
  </si>
  <si>
    <t>4.27.1</t>
  </si>
  <si>
    <t>ELEMENTOS DE VEDAÇÃO QUADRA</t>
  </si>
  <si>
    <t>REVESTIMENTO QUADRA</t>
  </si>
  <si>
    <t>4.28</t>
  </si>
  <si>
    <t>4.28.1</t>
  </si>
  <si>
    <t>4.28.2</t>
  </si>
  <si>
    <t>4.28.3</t>
  </si>
  <si>
    <t>4.28.4</t>
  </si>
  <si>
    <t>4.28.5</t>
  </si>
  <si>
    <t>PISOS QUADRA</t>
  </si>
  <si>
    <t>4.29</t>
  </si>
  <si>
    <t>4.29.1</t>
  </si>
  <si>
    <t>4.29.2</t>
  </si>
  <si>
    <t>4.30</t>
  </si>
  <si>
    <t>4.30.1</t>
  </si>
  <si>
    <t>4.30.2</t>
  </si>
  <si>
    <t>4.31</t>
  </si>
  <si>
    <t>4.31.1</t>
  </si>
  <si>
    <t>4.31.2</t>
  </si>
  <si>
    <t>4.31.3</t>
  </si>
  <si>
    <t>4.31.4</t>
  </si>
  <si>
    <t>4.31.5</t>
  </si>
  <si>
    <t>4.31.6</t>
  </si>
  <si>
    <t>4.31.7</t>
  </si>
  <si>
    <t>4.31.8</t>
  </si>
  <si>
    <t>SDC01039</t>
  </si>
  <si>
    <t>APLICAÇÃO MANUAL DE PINTURA COM TINTA ESMALTE SINTETICO BRILHO, EM PAREDES, DUAS DEMÃOS  ( Linha Pantone 308U)</t>
  </si>
  <si>
    <t>SDC01037</t>
  </si>
  <si>
    <t>APLICAÇÃO MANUAL DE PINTURA COM TINTA ESMALTE SINTETICO BRILHO, EM PAREDES, DUAS DEMÃOS  ( Linha Pantone 3125U)</t>
  </si>
  <si>
    <t>PINTURA QUADRA</t>
  </si>
  <si>
    <t>4.32</t>
  </si>
  <si>
    <t>SERVIÇOS COMPLEMENTARES CONSTRUTIVOS QUADRA</t>
  </si>
  <si>
    <t>SDC02071</t>
  </si>
  <si>
    <t>BANCO ARTICULADO EM AÇO INOX PARA BANHEIROS PCD, DIM. 700X400MM</t>
  </si>
  <si>
    <t>4.32.1</t>
  </si>
  <si>
    <t>4.32.2</t>
  </si>
  <si>
    <t>4.32.3</t>
  </si>
  <si>
    <t>4.32.4</t>
  </si>
  <si>
    <t>4.32.5</t>
  </si>
  <si>
    <t>4.32.6</t>
  </si>
  <si>
    <t>4.32.7</t>
  </si>
  <si>
    <t>4.32.8</t>
  </si>
  <si>
    <t>4.32.9</t>
  </si>
  <si>
    <t>4.32.10</t>
  </si>
  <si>
    <t>4.32.11</t>
  </si>
  <si>
    <t>4.32.12</t>
  </si>
  <si>
    <t>4.32.13</t>
  </si>
  <si>
    <t>4.32.14</t>
  </si>
  <si>
    <t>URBANIZAÇÃO E PAISAGISMO QUADRA</t>
  </si>
  <si>
    <t>4.33</t>
  </si>
  <si>
    <t>EXECUÇÃO DE PASSEIO (CALÇADA) OU PISO DE CONCRETO COM CONCRETO MOLDADO IN LOCO, FEITO EM OBRA, ACABAMENTO CONVENCIONAL, NÃO ARMADO. AF_07/2016</t>
  </si>
  <si>
    <t>4.33.1</t>
  </si>
  <si>
    <t>4.34</t>
  </si>
  <si>
    <t>4.34.1</t>
  </si>
  <si>
    <t>4.34.2</t>
  </si>
  <si>
    <t>4.34.3</t>
  </si>
  <si>
    <t>4.35</t>
  </si>
  <si>
    <t>IMPERMEABILIZAÇÕES ESCOLA</t>
  </si>
  <si>
    <t>4.35.1</t>
  </si>
  <si>
    <t>4.35.2</t>
  </si>
  <si>
    <t>TOTAL ARQUITETÔNICO</t>
  </si>
  <si>
    <t>ESTRUTURAL</t>
  </si>
  <si>
    <t>ESTRUTURAL BLOCOS ESCOLA</t>
  </si>
  <si>
    <t>5.1.1</t>
  </si>
  <si>
    <t>5.1.2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</si>
  <si>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</si>
  <si>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</si>
  <si>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</si>
  <si>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</si>
  <si>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</si>
  <si>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</si>
  <si>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</si>
  <si>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</si>
  <si>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</si>
  <si>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</si>
  <si>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</si>
  <si>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</si>
  <si>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</si>
  <si>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</si>
  <si>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SDC01008</t>
  </si>
  <si>
    <t>SDC01013</t>
  </si>
  <si>
    <t>SDC01228</t>
  </si>
  <si>
    <t>MOBILIZACAO E INSTALACAO DE 01  EQUIPAMENTO DE SONDAGEM, DISTANCIA ACIMA DE 20KM</t>
  </si>
  <si>
    <t>CONTRAPISO ARMADO BLOCO</t>
  </si>
  <si>
    <t>5.3.1</t>
  </si>
  <si>
    <t>5.3.2</t>
  </si>
  <si>
    <t>5.3.3</t>
  </si>
  <si>
    <t>5.3.4</t>
  </si>
  <si>
    <t>85662</t>
  </si>
  <si>
    <t>BLOCOS DE COROAMENTO BLOCO</t>
  </si>
  <si>
    <t>5.4.1</t>
  </si>
  <si>
    <t>FABRICAÇÃO, MONTAGEM E DESMONTAGEM DE FÔRMA PARA BLOCO DE COROAMENTO, EM MADEIRA SERRADA, E=25 MM, 2 UTILIZAÇÕES. AF_06/2017</t>
  </si>
  <si>
    <t>ARMAÇÃO DE BLOCO, VIGA BALDRAME OU SAPATA UTILIZANDO AÇO CA-50 DE 6,3 MM - MONTAGEM. AF_06/2017</t>
  </si>
  <si>
    <t>ARMAÇÃO DE BLOCO, VIGA BALDRAME OU SAPATA UTILIZANDO AÇO CA-50 DE 8 MM - MONTAGEM. AF_06/2017</t>
  </si>
  <si>
    <t>ARMAÇÃO DE BLOCO, VIGA BALDRAME OU SAPATA UTILIZANDO AÇO CA-50 DE 10 MM - MONTAGEM. AF_06/2017</t>
  </si>
  <si>
    <t>ARMAÇÃO DE BLOCO, VIGA BALDRAME OU SAPATA UTILIZANDO AÇO CA-50 DE 12,5 MM - MONTAGEM. AF_06/2017</t>
  </si>
  <si>
    <t>5.4.2</t>
  </si>
  <si>
    <t>5.4.3</t>
  </si>
  <si>
    <t>5.4.4</t>
  </si>
  <si>
    <t>5.4.5</t>
  </si>
  <si>
    <t>5.4.6</t>
  </si>
  <si>
    <t>VIGAS BALDRAMES BLOCO</t>
  </si>
  <si>
    <t>5.5.1</t>
  </si>
  <si>
    <t>ARMAÇÃO DE BLOCO, VIGA BALDRAME E SAPATA UTILIZANDO AÇO CA-60 DE 5 MM - MONTAGEM. AF_06/2017</t>
  </si>
  <si>
    <t>5.5.2</t>
  </si>
  <si>
    <t>5.5.3</t>
  </si>
  <si>
    <t>5.5.4</t>
  </si>
  <si>
    <t>5.5.5</t>
  </si>
  <si>
    <t>5.5.6</t>
  </si>
  <si>
    <t>TOCO DE PILAR (ENTRE TOPO DO BLOCO E TOPO DA VIGA BALDRAME)</t>
  </si>
  <si>
    <t>5.6.1</t>
  </si>
  <si>
    <t>5970</t>
  </si>
  <si>
    <t>SDC01004</t>
  </si>
  <si>
    <t>5.6.2</t>
  </si>
  <si>
    <t>5.6.3</t>
  </si>
  <si>
    <t>5.6.4</t>
  </si>
  <si>
    <t>5.6.5</t>
  </si>
  <si>
    <t>SUPER-ESTRUTURA PILARES BLOCO</t>
  </si>
  <si>
    <t>5.7.1</t>
  </si>
  <si>
    <t>5.7.2</t>
  </si>
  <si>
    <t>5.7.3</t>
  </si>
  <si>
    <t>5.7.4</t>
  </si>
  <si>
    <t>5.7.5</t>
  </si>
  <si>
    <t>5.7.6</t>
  </si>
  <si>
    <t>SUPER-ESTRUTURA VIGAS BLOCO</t>
  </si>
  <si>
    <t>ARMAÇÃO DE PILAR OU VIGA DE UMA ESTRUTURA CONVENCIONAL DE CONCRETO ARMADO EM UMA EDIFICAÇÃO TÉRREA OU SOBRADO UTILIZANDO AÇO CA-50 DE 6,3 MM - MONTAGEM. AF_12/2015</t>
  </si>
  <si>
    <t>ARMAÇÃO DE PILAR OU VIGA DE UMA ESTRUTURA CONVENCIONAL DE CONCRETO ARMADO EM UMA EDIFICAÇÃO TÉRREA OU SOBRADO UTILIZANDO AÇO CA-50 DE 16,0 MM - MONTAGEM. AF_12/2015</t>
  </si>
  <si>
    <t>5.8.1</t>
  </si>
  <si>
    <t>5.8.2</t>
  </si>
  <si>
    <t>5.8.3</t>
  </si>
  <si>
    <t>5.8.4</t>
  </si>
  <si>
    <t>5.8.5</t>
  </si>
  <si>
    <t>5.8.6</t>
  </si>
  <si>
    <t>5.8.7</t>
  </si>
  <si>
    <t>5.8.8</t>
  </si>
  <si>
    <t>LAJES BLOCO</t>
  </si>
  <si>
    <t>SDC01016</t>
  </si>
  <si>
    <t>LAJE PRÉ-MOLDADA TRELIÇADA, PARA COBERTURA, INCLUSIVE EPS, CAPEAMENTO 4,0CM E ALTURA FINAL 12,0CM, FCK=25MPA. INCLUSO ESCORAMENTO</t>
  </si>
  <si>
    <t>5.9.2</t>
  </si>
  <si>
    <t>5.9.1</t>
  </si>
  <si>
    <t>5.10</t>
  </si>
  <si>
    <t>5.10.1</t>
  </si>
  <si>
    <t>5.10.2</t>
  </si>
  <si>
    <t>5.10.3</t>
  </si>
  <si>
    <t>5.10.4</t>
  </si>
  <si>
    <t>5.11</t>
  </si>
  <si>
    <t>COBERTUERA METÁLICA BLOCO</t>
  </si>
  <si>
    <t>ESCAVAÇÃO MECANIZADA DE VALA COM PROF. ATÉ 1,5 M(MÉDIA ENTRE MONTANTE E JUSANTE/UMA COMPOSIÇÃO POR TRECHO), COM ESCAVADEIRA HIDRÁULICA (0,8 M3/111 HP), LARG. DE 1,5M A 2,5 M, EM SOLO DE 1A CATEGORIA, LOCAIS COM BAIXO NÍVEL DE INTERFERÊNCIA. AF_01/2015</t>
  </si>
  <si>
    <t>ESCAVAÇÃO MECANIZADA DE VALA COM PROF. MAIOR QUE 1,5 M ATÉ 3,0 M (MÉDIA ENTRE MONTANTE E JUSANTE/UMA COMPOSIÇÃO POR TRECHO), COM ESCAVADEIRA HIDRÁULICA (0,8 M3/111 HP), LARG. DE 1,5 M A 2,5 M, EM SOLO DE 1A CATEGORIA, LOCAIS COM BAIXO NÍVEL DE INTERFERÊNCIA. AF_01/2015</t>
  </si>
  <si>
    <t>REATERRO MECANIZADO DE VALA COM ESCAVADEIRA HIDRÁULICA (CAPACIDADE DA CAÇAMBA: 0,8 M³ / POTÊNCIA: 111 HP), LARGURA DE 1,5 A 2,5 M, PROFUNDIDADE ATÉ 1,5 M, COM SOLO (SEM SUBSTITUIÇÃO) DE 1ª CATEGORIA EM LOCAIS COM BAIXO NÍVEL DE INTERFERÊNCIA. AF_04/2016</t>
  </si>
  <si>
    <t>REATERRO MECANIZADO DE VALA COM ESCAVADEIRA HIDRÁULICA (CAPACIDADE DA CAÇAMBA: 0,8 M³ / POTÊNCIA: 111 HP), LARGURA DE 1,5 A 2,5 M, PROFUNDIDADE DE 1,5 A 3,0 M, COM SOLO (SEM SUBSTITUIÇÃO) DE 1ª CATEGORIA EM LOCAIS COM BAIXO NÍVEL DE INTERFERÊNCIA. AF_04/2016</t>
  </si>
  <si>
    <t>5.11.1</t>
  </si>
  <si>
    <t>5.11.2</t>
  </si>
  <si>
    <t>5.11.3</t>
  </si>
  <si>
    <t>5.11.4</t>
  </si>
  <si>
    <t>5.11.5</t>
  </si>
  <si>
    <t>5.11.6</t>
  </si>
  <si>
    <t>5.11.7</t>
  </si>
  <si>
    <t>5.11.8</t>
  </si>
  <si>
    <t>5.11.9</t>
  </si>
  <si>
    <t>5.11.10</t>
  </si>
  <si>
    <t>5.11.11</t>
  </si>
  <si>
    <t>5.11.12</t>
  </si>
  <si>
    <t>5.11.13</t>
  </si>
  <si>
    <t>5.12</t>
  </si>
  <si>
    <t>5.12.1</t>
  </si>
  <si>
    <t>PERGOLADO PLAYGROUND</t>
  </si>
  <si>
    <t>5.12.1.1</t>
  </si>
  <si>
    <t>5.12.1.2</t>
  </si>
  <si>
    <t>5.12.1.3</t>
  </si>
  <si>
    <t>5.12.1.4</t>
  </si>
  <si>
    <t>5.12.1.5</t>
  </si>
  <si>
    <t>5.12.1.6</t>
  </si>
  <si>
    <t>5.12.2</t>
  </si>
  <si>
    <t>5.12.2.1</t>
  </si>
  <si>
    <t>5.12.2.2</t>
  </si>
  <si>
    <t>5.12.2.3</t>
  </si>
  <si>
    <t>5.12.2.4</t>
  </si>
  <si>
    <t>5.12.2.5</t>
  </si>
  <si>
    <t>5.12.2.6</t>
  </si>
  <si>
    <t>5.12.3</t>
  </si>
  <si>
    <t>5.12.3.1</t>
  </si>
  <si>
    <t>5.12.3.2</t>
  </si>
  <si>
    <t>5.12.3.3</t>
  </si>
  <si>
    <t>5.12.3.4</t>
  </si>
  <si>
    <t>VIGAS DE TRAVAMENTO</t>
  </si>
  <si>
    <t>5.12.4</t>
  </si>
  <si>
    <t>5.12.4.1</t>
  </si>
  <si>
    <t>5.12.4.2</t>
  </si>
  <si>
    <t>5.12.4.3</t>
  </si>
  <si>
    <t>5.12.4.4</t>
  </si>
  <si>
    <t>PILARES DE FUNDAÇÃO</t>
  </si>
  <si>
    <t>5.12.5</t>
  </si>
  <si>
    <t>5.12.5.1</t>
  </si>
  <si>
    <t>5.12.5.2</t>
  </si>
  <si>
    <t>5.12.5.3</t>
  </si>
  <si>
    <t>5.12.5.4</t>
  </si>
  <si>
    <t>5.13</t>
  </si>
  <si>
    <t>5.13.1</t>
  </si>
  <si>
    <t>5.13.2</t>
  </si>
  <si>
    <t>5.13.1.1</t>
  </si>
  <si>
    <t>5.13.1.2</t>
  </si>
  <si>
    <t>5.13.2.1</t>
  </si>
  <si>
    <t>5.13.2.2</t>
  </si>
  <si>
    <t>5.13.2.3</t>
  </si>
  <si>
    <t>5.13.2.4</t>
  </si>
  <si>
    <t>5.13.2.5</t>
  </si>
  <si>
    <t>5.13.2.6</t>
  </si>
  <si>
    <t>5.13.2.7</t>
  </si>
  <si>
    <t>5.13.2.8</t>
  </si>
  <si>
    <t>5.13.2.9</t>
  </si>
  <si>
    <t>5.13.2.10</t>
  </si>
  <si>
    <t>5.13.3</t>
  </si>
  <si>
    <t>5.13.3.1</t>
  </si>
  <si>
    <t>5.13.3.2</t>
  </si>
  <si>
    <t>5.13.4</t>
  </si>
  <si>
    <t>SDC01006</t>
  </si>
  <si>
    <t>5.13.4.1</t>
  </si>
  <si>
    <t>5.13.4.2</t>
  </si>
  <si>
    <t>5.13.4.3</t>
  </si>
  <si>
    <t>5.13.4.4</t>
  </si>
  <si>
    <t>5.13.4.5</t>
  </si>
  <si>
    <t>5.13.4.6</t>
  </si>
  <si>
    <t>5.13.4.7</t>
  </si>
  <si>
    <t>VIGAS BALDRAME</t>
  </si>
  <si>
    <t>5.13.5</t>
  </si>
  <si>
    <t>5.13.5.1</t>
  </si>
  <si>
    <t>5.13.5.2</t>
  </si>
  <si>
    <t>5.13.5.3</t>
  </si>
  <si>
    <t>5.13.5.4</t>
  </si>
  <si>
    <t>5.13.5.5</t>
  </si>
  <si>
    <t>5.13.5.6</t>
  </si>
  <si>
    <t>5.13.6</t>
  </si>
  <si>
    <t>5.13.6.1</t>
  </si>
  <si>
    <t>5.13.6.2</t>
  </si>
  <si>
    <t>5.13.6.3</t>
  </si>
  <si>
    <t>5.13.6.4</t>
  </si>
  <si>
    <t>5.13.7</t>
  </si>
  <si>
    <t>5.13.7.1</t>
  </si>
  <si>
    <t>5.13.7.2</t>
  </si>
  <si>
    <t>5.13.7.3</t>
  </si>
  <si>
    <t>5.13.7.4</t>
  </si>
  <si>
    <t>5.13.7.5</t>
  </si>
  <si>
    <t>5.13.7.6</t>
  </si>
  <si>
    <t>5.13.7.7</t>
  </si>
  <si>
    <t>5.13.8</t>
  </si>
  <si>
    <t>5.13.8.1</t>
  </si>
  <si>
    <t>5.13.8.2</t>
  </si>
  <si>
    <t>5.13.9</t>
  </si>
  <si>
    <t>5.13.9.1</t>
  </si>
  <si>
    <t>5.13.9.2</t>
  </si>
  <si>
    <t>5.13.9.3</t>
  </si>
  <si>
    <t>5.13.9.4</t>
  </si>
  <si>
    <t>ESTRUTURAL QUADRA POLIESPORTIVA</t>
  </si>
  <si>
    <t>5.14</t>
  </si>
  <si>
    <t>5.14.1</t>
  </si>
  <si>
    <t>5.14.1.1</t>
  </si>
  <si>
    <t>5.14.1.2</t>
  </si>
  <si>
    <t>5.14.2</t>
  </si>
  <si>
    <t>5.14.2.1</t>
  </si>
  <si>
    <t>5.14.2.2</t>
  </si>
  <si>
    <t>5.14.2.3</t>
  </si>
  <si>
    <t>5.14.2.4</t>
  </si>
  <si>
    <t>5.14.2.5</t>
  </si>
  <si>
    <t>5.14.2.6</t>
  </si>
  <si>
    <t>5.14.2.7</t>
  </si>
  <si>
    <t>5.14.2.8</t>
  </si>
  <si>
    <t>5.14.2.9</t>
  </si>
  <si>
    <t>5.14.2.10</t>
  </si>
  <si>
    <t>5.14.2.11</t>
  </si>
  <si>
    <t>5.14.2.12</t>
  </si>
  <si>
    <t>5.14.3</t>
  </si>
  <si>
    <t>5.14.3.1</t>
  </si>
  <si>
    <t>5.14.3.2</t>
  </si>
  <si>
    <t>5.14.3.3</t>
  </si>
  <si>
    <t>5.14.3.4</t>
  </si>
  <si>
    <t>5.14.4</t>
  </si>
  <si>
    <t>BLOCOS DE COROAMENTO</t>
  </si>
  <si>
    <t>5.14.4.1</t>
  </si>
  <si>
    <t>5.14.4.2</t>
  </si>
  <si>
    <t>5.14.4.3</t>
  </si>
  <si>
    <t>5.14.4.4</t>
  </si>
  <si>
    <t>5.14.5</t>
  </si>
  <si>
    <t>5.14.5.1</t>
  </si>
  <si>
    <t>SDC01010</t>
  </si>
  <si>
    <t>SDC01050</t>
  </si>
  <si>
    <t>SDC01009</t>
  </si>
  <si>
    <t>ARMAÇÃO DE FUNDAÇÕES E ESTRUTURAS DE CONCRETO ARMADO, EXCETO VIGAS, PILARES E LAJES (DE EDIFÍCIOS DE MÚLTIPLOS PAVIMENTOS, EDIFICAÇÃO TÉRREA OU SOBRADO), UTILIZANDO AÇO CA-50 DE 25.0 MM - MONTAGEM</t>
  </si>
  <si>
    <t>5.14.5.2</t>
  </si>
  <si>
    <t>5.14.5.3</t>
  </si>
  <si>
    <t>5.14.5.4</t>
  </si>
  <si>
    <t>5.14.5.5</t>
  </si>
  <si>
    <t>5.14.5.6</t>
  </si>
  <si>
    <t>5.14.5.7</t>
  </si>
  <si>
    <t>5.14.5.8</t>
  </si>
  <si>
    <t>5.14.6</t>
  </si>
  <si>
    <t>5.14.6.1</t>
  </si>
  <si>
    <t>ARMAÇÃO DE BLOCO, VIGA BALDRAME OU SAPATA UTILIZANDO AÇO CA-50 DE 16 MM - MONTAGEM. AF_06/2017</t>
  </si>
  <si>
    <t>5.14.6.2</t>
  </si>
  <si>
    <t>5.14.6.3</t>
  </si>
  <si>
    <t>5.14.6.4</t>
  </si>
  <si>
    <t>5.14.6.5</t>
  </si>
  <si>
    <t>5.14.6.6</t>
  </si>
  <si>
    <t>5.14.6.7</t>
  </si>
  <si>
    <t>5.14.7</t>
  </si>
  <si>
    <t>5.14.7.1</t>
  </si>
  <si>
    <t>ARMAÇÃO DE PILAR OU VIGA DE UMA ESTRUTURA CONVENCIONAL DE CONCRETO ARMADO EM UMA EDIFICAÇÃO TÉRREA OU SOBRADO UTILIZANDO AÇO CA-50 DE 25,0 MM - MONTAGEM. AF_12/2015</t>
  </si>
  <si>
    <t>5.14.7.2</t>
  </si>
  <si>
    <t>5.14.7.3</t>
  </si>
  <si>
    <t>5.14.7.4</t>
  </si>
  <si>
    <t>5.14.7.5</t>
  </si>
  <si>
    <t>5.14.7.6</t>
  </si>
  <si>
    <t>5.14.7.7</t>
  </si>
  <si>
    <t>5.14.7.8</t>
  </si>
  <si>
    <t>5.14.8</t>
  </si>
  <si>
    <t>5.14.8.1</t>
  </si>
  <si>
    <t>5.14.8.2</t>
  </si>
  <si>
    <t>5.14.8.3</t>
  </si>
  <si>
    <t>5.14.8.4</t>
  </si>
  <si>
    <t>5.14.8.5</t>
  </si>
  <si>
    <t>5.14.8.6</t>
  </si>
  <si>
    <t>5.14.8.7</t>
  </si>
  <si>
    <t>5.14.9</t>
  </si>
  <si>
    <t>5.14.9.1</t>
  </si>
  <si>
    <t>5.14.9.2</t>
  </si>
  <si>
    <t>5.14.10</t>
  </si>
  <si>
    <t>COBERTURA METÁLICA QUADRA</t>
  </si>
  <si>
    <t>5.14.10.1</t>
  </si>
  <si>
    <t>5.14.11</t>
  </si>
  <si>
    <t>COBERTURA VESTIÁRIO</t>
  </si>
  <si>
    <t>5.14.11.1</t>
  </si>
  <si>
    <t>5.14.11.2</t>
  </si>
  <si>
    <t>5.14.11.3</t>
  </si>
  <si>
    <t>5.14.11.4</t>
  </si>
  <si>
    <t>5.14.12</t>
  </si>
  <si>
    <t>ARQUIBANCADA</t>
  </si>
  <si>
    <t>5.14.12.1</t>
  </si>
  <si>
    <t>5.14.12.2</t>
  </si>
  <si>
    <t>5.14.12.3</t>
  </si>
  <si>
    <t>5.14.12.4</t>
  </si>
  <si>
    <t>5.14.12.5</t>
  </si>
  <si>
    <t>89978</t>
  </si>
  <si>
    <t>(COMPOSIÇÃO REPRESENTATIVA) DO SERVIÇO DE ALVENARIA DE VEDAÇÃO DE BLOCOS VAZADOS DE CONCRETO DE 14X19X39CM (ESPESSURA 14CM), PARA EDIFICAÇÃO HABITACIONAL UNIFAMILIAR (CASA) E EDIFICAÇÃO PÚBLICA PADRÃO. AF_12/2014</t>
  </si>
  <si>
    <t>6.1.1</t>
  </si>
  <si>
    <t>ALIMENTAÇÃO</t>
  </si>
  <si>
    <t>REGISTRO DE ESFERA, PVC, SOLDÁVEL, DN  25 MM, INSTALADO EM RESERVAÇÃO DE ÁGUA DE EDIFICAÇÃO QUE POSSUA RESERVATÓRIO DE FIBRA/FIBROCIMENTO   FORNECIMENTO E INSTALAÇÃO. AF_06/2016</t>
  </si>
  <si>
    <t>74093/001</t>
  </si>
  <si>
    <t>VALVULA PE COM CRIVO BRONZE 1.1/4" - FORNECIMENTO E INSTALACAO</t>
  </si>
  <si>
    <t>CURVA 90 GRAUS, PVC, SOLDÁVEL, DN 32MM, INSTALADO EM RAMAL DE DISTRIBUIÇÃO DE ÁGUA - FORNECIMENTO E INSTALAÇÃO. AF_12/2014</t>
  </si>
  <si>
    <t>ADAPTADOR CURTO COM BOLSA E ROSCA PARA REGISTRO, PVC, SOLDÁVEL, DN 40 MM X 1 1/4 , INSTALADO EM RESERVAÇÃO DE ÁGUA DE EDIFICAÇÃO QUE POSSUA RESERVATÓRIO DE FIBRA/FIBROCIMENTO   FORNECIMENTO E INSTALAÇÃO. AF_06/2016</t>
  </si>
  <si>
    <t>ADAPTADOR CURTO COM BOLSA E ROSCA PARA REGISTRO, PVC, SOLDÁVEL, DN 32 MM X 1 , INSTALADO EM RESERVAÇÃO DE ÁGUA DE EDIFICAÇÃO QUE POSSUA RESERVATÓRIO DE FIBRA/FIBROCIMENTO   FORNECIMENTO E INSTALAÇÃO. AF_06/2016</t>
  </si>
  <si>
    <t>SDC02101</t>
  </si>
  <si>
    <t>CAP PVC SOLD. MARROM D= 32mm (1")</t>
  </si>
  <si>
    <t>JOELHO 90 GRAUS, PVC, SOLDÁVEL, DN 32 MM INSTALADO EM RESERVAÇÃO DE ÁGUA DE EDIFICAÇÃO QUE POSSUA RESERVATÓRIO DE FIBRA/FIBROCIMENTO   FORNECIMENTO E INSTALAÇÃO. AF_06/2016</t>
  </si>
  <si>
    <t>JOELHO 90 GRAUS, PVC, SOLDÁVEL, DN 40 MM INSTALADO EM RESERVAÇÃO DE ÁGUA DE EDIFICAÇÃO QUE POSSUA RESERVATÓRIO DE FIBRA/FIBROCIMENTO   FORNECIMENTO E INSTALAÇÃO. AF_06/2016</t>
  </si>
  <si>
    <t>TUBO, PVC, SOLDÁVEL, DN 40 MM, INSTALADO EM RESERVAÇÃO DE ÁGUA DE EDIFICAÇÃO QUE POSSUA RESERVATÓRIO DE FIBRA/FIBROCIMENTO   FORNECIMENTO E INSTALAÇÃO. AF_06/2016</t>
  </si>
  <si>
    <t>TUBO, PVC, SOLDÁVEL, DN 32 MM, INSTALADO EM RESERVAÇÃO DE ÁGUA DE EDIFICAÇÃO QUE POSSUA RESERVATÓRIO DE FIBRA/FIBROCIMENTO   FORNECIMENTO E INSTALAÇÃO. AF_06/2016</t>
  </si>
  <si>
    <t>TE, PVC, SOLDÁVEL, DN 32MM, INSTALADO EM RAMAL DE DISTRIBUIÇÃO DE ÁGUA - FORNECIMENTO E INSTALAÇÃO. AF_12/2014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</si>
  <si>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</si>
  <si>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</si>
  <si>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</si>
  <si>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</si>
  <si>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</si>
  <si>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</si>
  <si>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</si>
  <si>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</si>
  <si>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</si>
  <si>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</si>
  <si>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</si>
  <si>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</si>
  <si>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</si>
  <si>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</si>
  <si>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</si>
  <si>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</si>
  <si>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</si>
  <si>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</si>
  <si>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</si>
  <si>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</si>
  <si>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</si>
  <si>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</si>
  <si>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</si>
  <si>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</si>
  <si>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</si>
  <si>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6.2.12</t>
  </si>
  <si>
    <t>6.2.13</t>
  </si>
  <si>
    <t>6.2.14</t>
  </si>
  <si>
    <t>6.2.15</t>
  </si>
  <si>
    <t>6.2.16</t>
  </si>
  <si>
    <t>6.2.17</t>
  </si>
  <si>
    <t>6.2.18</t>
  </si>
  <si>
    <t>6.2.19</t>
  </si>
  <si>
    <t>6.2.20</t>
  </si>
  <si>
    <t>6.2.21</t>
  </si>
  <si>
    <t>6.2.22</t>
  </si>
  <si>
    <t>6.2.23</t>
  </si>
  <si>
    <t>6.2.24</t>
  </si>
  <si>
    <t>6.2.25</t>
  </si>
  <si>
    <t>6.2.26</t>
  </si>
  <si>
    <t>6.2.27</t>
  </si>
  <si>
    <t>6.2.28</t>
  </si>
  <si>
    <t>6.2.29</t>
  </si>
  <si>
    <t>6.2.30</t>
  </si>
  <si>
    <t>6.2.31</t>
  </si>
  <si>
    <t>6.2.32</t>
  </si>
  <si>
    <t>6.2.33</t>
  </si>
  <si>
    <t>6.2.34</t>
  </si>
  <si>
    <t>6.2.35</t>
  </si>
  <si>
    <t>6.2.36</t>
  </si>
  <si>
    <t>6.2.37</t>
  </si>
  <si>
    <t>6.2.38</t>
  </si>
  <si>
    <t>6.2.39</t>
  </si>
  <si>
    <t>6.2.40</t>
  </si>
  <si>
    <t>6.2.41</t>
  </si>
  <si>
    <t>6.2.42</t>
  </si>
  <si>
    <t>6.2.43</t>
  </si>
  <si>
    <t>6.2.44</t>
  </si>
  <si>
    <t>6.2.45</t>
  </si>
  <si>
    <t>6.2.46</t>
  </si>
  <si>
    <t>6.2.47</t>
  </si>
  <si>
    <t>6.2.48</t>
  </si>
  <si>
    <t>6.2.49</t>
  </si>
  <si>
    <t>6.2.50</t>
  </si>
  <si>
    <t>6.2.51</t>
  </si>
  <si>
    <t>6.2.52</t>
  </si>
  <si>
    <t>6.2.53</t>
  </si>
  <si>
    <t>TOTAL ESTRUTURAL</t>
  </si>
  <si>
    <t>TOTAL ESTRUTURAL QUADRA POLIESPORTIVA</t>
  </si>
  <si>
    <t xml:space="preserve">TOTAL ESTRUTURAL PERGOLADO </t>
  </si>
  <si>
    <t>TOTAL ESTRUTURAL BLOCO DE SALAS E MURO DE ARRIMO</t>
  </si>
  <si>
    <t>BOMBA CENTRIFUGA C/ MOTOR ELETRICO TRIFASICO 1CV</t>
  </si>
  <si>
    <t>SDC02021</t>
  </si>
  <si>
    <t>CAIXA D'AGUA TIPO TAÇA COM CAPACIDADE DE 5.000 LITROS COM COLUNA SECA, INCLUSIVE INSTALAÇÃO</t>
  </si>
  <si>
    <t>SDC02056</t>
  </si>
  <si>
    <t>CAIXA D'AGUA TIPO TAÇA COM CAPACIDADE DE 10.000 LITROS COM COLUNA SECA, INCLUSIVE INSTALAÇÃO</t>
  </si>
  <si>
    <t>6.3.1</t>
  </si>
  <si>
    <t>6.3.2</t>
  </si>
  <si>
    <t>6.3.3</t>
  </si>
  <si>
    <t>6.3.4</t>
  </si>
  <si>
    <t>6.3.5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</si>
  <si>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</si>
  <si>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</si>
  <si>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</si>
  <si>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</si>
  <si>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</si>
  <si>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</si>
  <si>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</si>
  <si>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</si>
  <si>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</si>
  <si>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VASO SANITARIO SIFONADO CONVENCIONAL COM LOUÇA BRANCA, INCLUSO CONJUNTO DE LIGAÇÃO PARA BACIA SANITÁRIA AJUSTÁVEL - FORNECIMENTO E INSTALAÇÃO. AF_10/2016</t>
  </si>
  <si>
    <t>LOUÇAS PARA VESTIÁRIOS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</si>
  <si>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</si>
  <si>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</si>
  <si>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</si>
  <si>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</si>
  <si>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</si>
  <si>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</si>
  <si>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</si>
  <si>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</si>
  <si>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</si>
  <si>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6.6.1</t>
  </si>
  <si>
    <t>BANHEIROS FUNCIONÁRIOS E COPA</t>
  </si>
  <si>
    <t>VASO SANITÁRIO SIFONADO COM CAIXA ACOPLADA LOUÇA BRANCA, INCLUSO ENGATE FLEXÍVEL EM PLÁSTICO BRANCO, 1/2  X 40CM - FORNECIMENTO E INSTALAÇÃO. AF_12/2013</t>
  </si>
  <si>
    <t>SDC02034</t>
  </si>
  <si>
    <t>PIA DE COZINHA DE AÇO INOXIDAVEL, CUBA DUPLA, 2,00 X 0,55M</t>
  </si>
  <si>
    <t>6.6.2</t>
  </si>
  <si>
    <t>6.6.3</t>
  </si>
  <si>
    <t>6.6.4</t>
  </si>
  <si>
    <t>6.6.5</t>
  </si>
  <si>
    <t>6.6.6</t>
  </si>
  <si>
    <t>6.6.7</t>
  </si>
  <si>
    <t>LOUÇAS LABORATÓRIOS</t>
  </si>
  <si>
    <t>86935</t>
  </si>
  <si>
    <t>CUBA DE EMBUTIR DE AÇO INOXIDÁVEL MÉDIA, INCLUSO VÁLVULA TIPO AMERICANA EM METAL CROMADO E SIFÃO FLEXÍVEL EM PVC - FORNECIMENTO E INSTALAÇÃO. AF_12/2013</t>
  </si>
  <si>
    <t>SDC04021</t>
  </si>
  <si>
    <t>FORNECIMENTO E INSTALAÇÃO DE CHUVEIRO LAVA-OLHOS DE EMERGÊNCIA EM AÇO GALVANIZADO COM ACIONAMENTO MANUAL E FIXAÇÃO NO PISO</t>
  </si>
  <si>
    <t>6.7.1</t>
  </si>
  <si>
    <t>6.7.2</t>
  </si>
  <si>
    <t>ACESSORIOS COMPLEMENTARES E LOUÇAS PARA COZINHA, ÁREA DE SERVIÇO E REFEITÓRIO</t>
  </si>
  <si>
    <t>SDC02103</t>
  </si>
  <si>
    <t>BANCADA PARA COZINHA EM AÇO INOX NAS DIMENSÕES 1,60X0,60M COM 01 CUBA EM AÇO INOX DE DIMENSÕES 0,50 X 0,45 X 0,35, INCLUSIVE TORNEIRA DE PRESSÃO PARA PIA LONGA DE PAREDE, SIFÃO PARA PIA E VÁLVULA DE ESCOAMENTO METÁLICA PARA PIA DE COZINHA, FIXADA SOBRE PAREDE DE ALVENARIA DE TIJOLO DE 1/2 VEZ ACABAMENTO EM AZULEJO CERAMICO ESMALTADO DE DIMENSÕES 150MM X 150MM COM REJUNTE DE COR BRANCO.</t>
  </si>
  <si>
    <t>SDC02102</t>
  </si>
  <si>
    <t>BANCADA PARA COZINHA EM AÇO INOX NAS DIMENSÕES 3,2X0,80M COM 01 CUBA EM AÇO INOX DE DIMENSÕES 0,80 X 0,60 X 0,50, INCLUSIVE TORNEIRA DE PRESSÃO PARA PIA LONGA DE PAREDE, SIFÃO PARA PIA E VÁLVULA DE ESCOAMENTO METÁLICA PARA PIA DE COZINHA, FIXADA SOBRE PAREDE DE ALVENARIA DE TIJOLO DE 1/2 VEZ ACABAMENTO EM AZULEJO CERAMICO ESMALTADO DE DIMENSÕES 150MM X 150MM COM REJUNTE DE COR BRANCO.</t>
  </si>
  <si>
    <t>6.8.1</t>
  </si>
  <si>
    <t>6.8.2</t>
  </si>
  <si>
    <t>6.8.3</t>
  </si>
  <si>
    <t>6.8.4</t>
  </si>
  <si>
    <t>6.8.5</t>
  </si>
  <si>
    <t>6.8.6</t>
  </si>
  <si>
    <t>BANHEIROS FUNCIONÁRIOS REFEITÓRIO</t>
  </si>
  <si>
    <t>6.9.1</t>
  </si>
  <si>
    <t>6.9.2</t>
  </si>
  <si>
    <t>6.9.3</t>
  </si>
  <si>
    <t>6.9.4</t>
  </si>
  <si>
    <t>6.9.5</t>
  </si>
  <si>
    <t>6.9.6</t>
  </si>
  <si>
    <t>6.9.7</t>
  </si>
  <si>
    <t>6.10.1</t>
  </si>
  <si>
    <t>MISTURADOR MONOCOMANDO PARA CHUVEIRO, BASE BRUTA E ACABAMENTO CROMADO, FORNECIDO E INSTALADO EM RAMAL DE ÁGUA. AF_12/2014</t>
  </si>
  <si>
    <t>6.10.2</t>
  </si>
  <si>
    <t>6.10.3</t>
  </si>
  <si>
    <t>6.10.4</t>
  </si>
  <si>
    <t>6.10.5</t>
  </si>
  <si>
    <t>6.10.6</t>
  </si>
  <si>
    <t>6.10.7</t>
  </si>
  <si>
    <t>6.10.8</t>
  </si>
  <si>
    <t>6.10.9</t>
  </si>
  <si>
    <t>6.10.10</t>
  </si>
  <si>
    <t>6.11.1</t>
  </si>
  <si>
    <t>CAIXA SIFONADA, PVC, DN 100 X 100 X 50 MM, JUNTA ELÁSTICA, FORNECIDA E INSTALADA EM RAMAL DE DESCARGA OU EM RAMAL DE ESGOTO SANITÁRIO. AF_12/2014</t>
  </si>
  <si>
    <t>JOELHO 45 GRAUS, PVC, SERIE NORMAL, ESGOTO PREDIAL, DN 100 MM, JUNTA ELÁSTICA, FORNECIDO E INSTALADO EM PRUMADA DE ESGOTO SANITÁRIO OU VENTILAÇÃO. AF_12/2014</t>
  </si>
  <si>
    <t>JOELHO 45 GRAUS, PVC, SERIE NORMAL, ESGOTO PREDIAL, DN 50 MM, JUNTA ELÁSTICA, FORNECIDO E INSTALADO EM PRUMADA DE ESGOTO SANITÁRIO OU VENTILAÇÃO. AF_12/2014</t>
  </si>
  <si>
    <t>JOELHO 45 GRAUS, PVC, SERIE NORMAL, ESGOTO PREDIAL, DN 75 MM, JUNTA ELÁSTICA, FORNECIDO E INSTALADO EM PRUMADA DE ESGOTO SANITÁRIO OU VENTILAÇÃO. AF_12/2014</t>
  </si>
  <si>
    <t>CURVA CURTA 90 GRAUS, PVC, SERIE NORMAL, ESGOTO PREDIAL, DN 100 MM, JUNTA ELÁSTICA, FORNECIDO E INSTALADO EM PRUMADA DE ESGOTO SANITÁRIO OU VENTILAÇÃO. AF_12/2014</t>
  </si>
  <si>
    <t>JOELHO 90 GRAUS, PVC, SERIE NORMAL, ESGOTO PREDIAL, DN 50 MM, JUNTA ELÁSTICA, FORNECIDO E INSTALADO EM PRUMADA DE ESGOTO SANITÁRIO OU VENTILAÇÃO. AF_12/2014</t>
  </si>
  <si>
    <t>JOELHO 90 GRAUS, PVC, SERIE NORMAL, ESGOTO PREDIAL, DN 75 MM, JUNTA ELÁSTICA, FORNECIDO E INSTALADO EM PRUMADA DE ESGOTO SANITÁRIO OU VENTILAÇÃO. AF_12/2014</t>
  </si>
  <si>
    <t>JOELHO 90 GRAUS, PVC, SERIE NORMAL, ESGOTO PREDIAL, DN 100 MM, JUNTA ELÁSTICA, FORNECIDO E INSTALADO EM PRUMADA DE ESGOTO SANITÁRIO OU VENTILAÇÃO. AF_12/2014</t>
  </si>
  <si>
    <t>JUNÇÃO SIMPLES, PVC, SERIE NORMAL, ESGOTO PREDIAL, DN 75 X 75 MM, JUNTA ELÁSTICA, FORNECIDO E INSTALADO EM PRUMADA DE ESGOTO SANITÁRIO OU VENTILAÇÃO. AF_12/2014</t>
  </si>
  <si>
    <t>JUNÇÃO SIMPLES, PVC, SERIE NORMAL, ESGOTO PREDIAL, DN 100 X 100 MM, JUNTA ELÁSTICA, FORNECIDO E INSTALADO EM PRUMADA DE ESGOTO SANITÁRIO OU VENTILAÇÃO. AF_12/2014</t>
  </si>
  <si>
    <t>JUNÇÃO SIMPLES, PVC, SERIE NORMAL, ESGOTO PREDIAL, DN 50 X 50 MM, JUNTA ELÁSTICA, FORNECIDO E INSTALADO EM PRUMADA DE ESGOTO SANITÁRIO OU VENTILAÇÃO. AF_12/2014</t>
  </si>
  <si>
    <t>TUBO PVC, SERIE NORMAL, ESGOTO PREDIAL, DN 100 MM, FORNECIDO E INSTALADO EM PRUMADA DE ESGOTO SANITÁRIO OU VENTILAÇÃO. AF_12/2014</t>
  </si>
  <si>
    <t>TUBO PVC, SERIE NORMAL, ESGOTO PREDIAL, DN 50 MM, FORNECIDO E INSTALADO EM PRUMADA DE ESGOTO SANITÁRIO OU VENTILAÇÃO. AF_12/2014</t>
  </si>
  <si>
    <t>TUBO PVC, SERIE NORMAL, ESGOTO PREDIAL, DN 75 MM, FORNECIDO E INSTALADO EM PRUMADA DE ESGOTO SANITÁRIO OU VENTILAÇÃO. AF_12/2014</t>
  </si>
  <si>
    <t>TE, PVC, SERIE NORMAL, ESGOTO PREDIAL, DN 50 X 50 MM, JUNTA ELÁSTICA, FORNECIDO E INSTALADO EM PRUMADA DE ESGOTO SANITÁRIO OU VENTILAÇÃO. AF_12/2014</t>
  </si>
  <si>
    <t>CURVA CURTA 90 GRAUS, PVC, SERIE NORMAL, ESGOTO PREDIAL, DN 50 MM, JUNTA ELÁSTICA, FORNECIDO E INSTALADO EM PRUMADA DE ESGOTO SANITÁRIO OU VENTILAÇÃO. AF_12/2014</t>
  </si>
  <si>
    <t>6.12.1</t>
  </si>
  <si>
    <t>6.12.2</t>
  </si>
  <si>
    <t>6.12.3</t>
  </si>
  <si>
    <t>6.12.4</t>
  </si>
  <si>
    <t>6.12.5</t>
  </si>
  <si>
    <t>6.12.6</t>
  </si>
  <si>
    <t>6.13</t>
  </si>
  <si>
    <t>6.13.1</t>
  </si>
  <si>
    <t>SDC02011</t>
  </si>
  <si>
    <t>FOSSA SÉPTICA EM ALVENARIA - TIJOLO COMUM MACIÇO, DIMENSOES 350 X 180 X 150 CM (9,45M³)</t>
  </si>
  <si>
    <t>SDC02064</t>
  </si>
  <si>
    <t>FOSSA SÉPTICA EM ALVENARIA - TIJOLO COMUM MACIÇO, DIMENSOES 475 X 240 X 180 CM (20,52M³)</t>
  </si>
  <si>
    <t>SDC02040</t>
  </si>
  <si>
    <t>EXECUÇÃO DE FILTRO ANAERÓBICO D=2M E PROFUNDIDADE=2,50M</t>
  </si>
  <si>
    <t>SDC02039</t>
  </si>
  <si>
    <t>EXECUÇÃO DE SUMIDOURO EM ALVENARIA DE TIJOLO MACIÇO ASSENTADO EM 1 VEZ COM ESPASSAMENTO ENTRE OS TIJOLOS: DIAMETRO 3,00M PROFUNDIDADE 3,00M</t>
  </si>
  <si>
    <t>6.13.2</t>
  </si>
  <si>
    <t>6.13.3</t>
  </si>
  <si>
    <t>6.13.4</t>
  </si>
  <si>
    <t>6.14</t>
  </si>
  <si>
    <t>6.14.1</t>
  </si>
  <si>
    <t>6.14.2</t>
  </si>
  <si>
    <t>6.14.3</t>
  </si>
  <si>
    <t>6.14.4</t>
  </si>
  <si>
    <t>JOELHO 90 GRAUS, PVC, SOLDÁVEL, DN 25MM, INSTALADO EM DRENO DE AR-CONDICIONADO - FORNECIMENTO E INSTALAÇÃO. AF_12/2014</t>
  </si>
  <si>
    <t>TE, PVC, SOLDÁVEL, DN 25MM, INSTALADO EM DRENO DE AR-CONDICIONADO - FORNECIMENTO E INSTALAÇÃO. AF_12/2014</t>
  </si>
  <si>
    <t>6.15</t>
  </si>
  <si>
    <t>INSTALAÇÕES DE DRENAGEM DE ÁGUAS PLUVIAIS</t>
  </si>
  <si>
    <t>REATERRO MECANIZADO DE VALA COM RETROESCAVADEIRA (CAPACIDADE DA CAÇAMBA DA RETRO: 0,26 M³ / POTÊNCIA: 88 HP), LARGURA ATÉ 0,8 M, PROFUNDIDADE DE 1,5 A 3,0 M, COM SOLO (SEM SUBSTITUIÇÃO) DE 1ª CATEGORIA EM LOCAIS COM BAIXO NÍVEL DE INTERFERÊNCIA. AF_04/2016</t>
  </si>
  <si>
    <t>TUBO PVC DN 100 MM PARA DRENAGEM - FORNECIMENTO E INSTALACAO</t>
  </si>
  <si>
    <t>75029/001</t>
  </si>
  <si>
    <t>TUBO PVC CORRUGADO RIGIDO PERFURADO DN 150 PARA DRENAGEM - FORNECIMENTO E INSTALACAO</t>
  </si>
  <si>
    <t>TUBO CONCRETO SIMPLES DN 200 MM PARA DRENAGEM - FORNECIMENTO E INSTALACAO, INCLUSIVE ESCAVACAO MANUAL 1M3/M.</t>
  </si>
  <si>
    <t>SDC02050</t>
  </si>
  <si>
    <t>RALO HEMISFÉRICO EM Fº Fº, TIPO ABACAXI 100MM</t>
  </si>
  <si>
    <t>6.15.1</t>
  </si>
  <si>
    <t>6.15.2</t>
  </si>
  <si>
    <t>6.15.3</t>
  </si>
  <si>
    <t>6.15.4</t>
  </si>
  <si>
    <t>6.15.5</t>
  </si>
  <si>
    <t>6.15.6</t>
  </si>
  <si>
    <t>6.15.7</t>
  </si>
  <si>
    <t>6.15.8</t>
  </si>
  <si>
    <t>6.15.9</t>
  </si>
  <si>
    <t>6.11.2</t>
  </si>
  <si>
    <t>6.11.3</t>
  </si>
  <si>
    <t>6.11.4</t>
  </si>
  <si>
    <t>6.11.5</t>
  </si>
  <si>
    <t>6.11.6</t>
  </si>
  <si>
    <t>6.11.7</t>
  </si>
  <si>
    <t>6.11.8</t>
  </si>
  <si>
    <t>6.11.9</t>
  </si>
  <si>
    <t>6.11.10</t>
  </si>
  <si>
    <t>6.11.11</t>
  </si>
  <si>
    <t>6.11.12</t>
  </si>
  <si>
    <t>6.11.13</t>
  </si>
  <si>
    <t>6.11.14</t>
  </si>
  <si>
    <t>6.11.15</t>
  </si>
  <si>
    <t>6.11.16</t>
  </si>
  <si>
    <t>6.11.17</t>
  </si>
  <si>
    <t>6.11.18</t>
  </si>
  <si>
    <t>6.11.19</t>
  </si>
  <si>
    <t>6.11.20</t>
  </si>
  <si>
    <t>6.11.21</t>
  </si>
  <si>
    <t>6.11.22</t>
  </si>
  <si>
    <t>6.11.23</t>
  </si>
  <si>
    <t>6.11.24</t>
  </si>
  <si>
    <t>6.11.25</t>
  </si>
  <si>
    <t>6.11.26</t>
  </si>
  <si>
    <t>6.11.27</t>
  </si>
  <si>
    <t>6.11.28</t>
  </si>
  <si>
    <t>INSTALAÇÃO ELÉTRICA</t>
  </si>
  <si>
    <t>INSTALAÇÃO ELÉTRICA - BAIXA TENSÃO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</si>
  <si>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</si>
  <si>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</si>
  <si>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</si>
  <si>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</si>
  <si>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</si>
  <si>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</si>
  <si>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</si>
  <si>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</si>
  <si>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</si>
  <si>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</si>
  <si>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</si>
  <si>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</si>
  <si>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</si>
  <si>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</si>
  <si>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</si>
  <si>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</si>
  <si>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</si>
  <si>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</si>
  <si>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7.1.19</t>
  </si>
  <si>
    <t>7.1.20</t>
  </si>
  <si>
    <t>7.1.21</t>
  </si>
  <si>
    <t>7.1.22</t>
  </si>
  <si>
    <t>7.1.23</t>
  </si>
  <si>
    <t>7.1.24</t>
  </si>
  <si>
    <t>7.1.25</t>
  </si>
  <si>
    <t>7.1.26</t>
  </si>
  <si>
    <t>7.1.27</t>
  </si>
  <si>
    <t>7.1.28</t>
  </si>
  <si>
    <t>7.1.29</t>
  </si>
  <si>
    <t>7.1.30</t>
  </si>
  <si>
    <t>7.1.31</t>
  </si>
  <si>
    <t>7.1.32</t>
  </si>
  <si>
    <t>7.1.33</t>
  </si>
  <si>
    <t>7.1.34</t>
  </si>
  <si>
    <t>7.1.35</t>
  </si>
  <si>
    <t>7.1.36</t>
  </si>
  <si>
    <t>7.1.37</t>
  </si>
  <si>
    <t>7.1.38</t>
  </si>
  <si>
    <t>7.1.39</t>
  </si>
  <si>
    <t>7.1.40</t>
  </si>
  <si>
    <t>7.1.41</t>
  </si>
  <si>
    <t>7.1.42</t>
  </si>
  <si>
    <t>7.1.43</t>
  </si>
  <si>
    <t>7.1.44</t>
  </si>
  <si>
    <t>7.1.45</t>
  </si>
  <si>
    <t>7.1.46</t>
  </si>
  <si>
    <t>7.1.47</t>
  </si>
  <si>
    <t>7.1.48</t>
  </si>
  <si>
    <t>7.1.49</t>
  </si>
  <si>
    <t>7.1.50</t>
  </si>
  <si>
    <t>7.1.51</t>
  </si>
  <si>
    <t>7.1.52</t>
  </si>
  <si>
    <t>7.1.53</t>
  </si>
  <si>
    <t>7.1.54</t>
  </si>
  <si>
    <t>7.1.55</t>
  </si>
  <si>
    <t>7.1.56</t>
  </si>
  <si>
    <t>7.1.57</t>
  </si>
  <si>
    <t>7.1.58</t>
  </si>
  <si>
    <t>7.1.59</t>
  </si>
  <si>
    <t>7.1.60</t>
  </si>
  <si>
    <t>7.1.61</t>
  </si>
  <si>
    <t>SDC03063</t>
  </si>
  <si>
    <t>CABO DE COBRE ISOLADO EM EPR FLEXÍVEL 16MM² - 0,6KV/1KV/90°</t>
  </si>
  <si>
    <t>SDC03064</t>
  </si>
  <si>
    <t>CABO DE COBRE ISOLADO EM EPR FLEXÍVEL 25MM² - 0,6KV/1KV/90°</t>
  </si>
  <si>
    <t>SDC03065</t>
  </si>
  <si>
    <t>CABO DE COBRE ISOLADO EM EPR FLEXÍVEL 35MM² - 0,6KV/1KV/90°</t>
  </si>
  <si>
    <t>SDC03067</t>
  </si>
  <si>
    <t>CABO DE COBRE ISOLADO EM EPR FLEXÍVEL 70MM² - 0,6KV/1KV/90°</t>
  </si>
  <si>
    <t>SDC03031</t>
  </si>
  <si>
    <t>CABO DE COBRE ISOLADO EM EPR FLEXÍVEL 120MM² - 0,6KV/1KV/90°</t>
  </si>
  <si>
    <t>INTERRUPTOR SIMPLES (2 MÓDULOS), 10A/250V, INCLUINDO SUPORTE E PLACA - FORNECIMENTO E INSTALAÇÃO. AF_12/2015</t>
  </si>
  <si>
    <t>INTERRUPTOR SIMPLES (3 MÓDULOS), 10A/250V, INCLUINDO SUPORTE E PLACA - FORNECIMENTO E INSTALAÇÃO. AF_12/2015</t>
  </si>
  <si>
    <t>74131/005</t>
  </si>
  <si>
    <t>QUADRO DE DISTRIBUICAO DE ENERGIA DE EMBUTIR, EM CHAPA METALICA, PARA 24 DISJUNTORES TERMOMAGNETICOS MONOPOLARES, COM BARRAMENTO TRIFASICO E NEUTRO, FORNECIMENTO E INSTALACAO</t>
  </si>
  <si>
    <t>74131/007</t>
  </si>
  <si>
    <t>QUADRO DE DISTRIBUICAO DE ENERGIA DE EMBUTIR, EM CHAPA METALICA, PARA 40 DISJUNTORES TERMOMAGNETICOS MONOPOLARES, COM BARRAMENTO TRIFASICO E NEUTRO, FORNECIMENTO E INSTALACAO</t>
  </si>
  <si>
    <t>SDC03012</t>
  </si>
  <si>
    <t>QUADRO COM BARRAMENTO TRIFÁSICO PARA DISJUNTOR DE ENTRADA 400A, INCLUINDO FIXAÇÃO, PLACA DE ACRÍLICO SEM BARRAMENTOS SECUNDÁRIOS E SEM DISJUNTOR DE ENTRADA - FORNECIMENTO E INSTALAÇÃO</t>
  </si>
  <si>
    <t>DISJUNTOR MONOPOLAR TIPO DIN, CORRENTE NOMINAL DE 25A - FORNECIMENTO E INSTALAÇÃO. AF_04/2016</t>
  </si>
  <si>
    <t>DISJUNTOR MONOPOLAR TIPO DIN, CORRENTE NOMINAL DE 32A - FORNECIMENTO E INSTALAÇÃO. AF_04/2016</t>
  </si>
  <si>
    <t>DISJUNTOR BIPOLAR TIPO DIN, CORRENTE NOMINAL DE 16A - FORNECIMENTO E INSTALAÇÃO. AF_04/2016</t>
  </si>
  <si>
    <t>DISJUNTOR BIPOLAR TIPO DIN, CORRENTE NOMINAL DE 20A - FORNECIMENTO E INSTALAÇÃO. AF_04/2016</t>
  </si>
  <si>
    <t>SDC03139</t>
  </si>
  <si>
    <t>FORNECIMENTO E INSTALAÇÃO DE PROTETOR DE SURTO (DPS) 175V - 45KA EM QUADRO DE DISTRIBUIÇÃO.</t>
  </si>
  <si>
    <t>DISJUNTOR TRIPOLAR TIPO DIN, CORRENTE NOMINAL DE 50A - FORNECIMENTO E INSTALAÇÃO. AF_04/2016</t>
  </si>
  <si>
    <t>SDC03115</t>
  </si>
  <si>
    <t>DISJUNTOR TERMOMAGNETICO TRIPOLAR EM CAIXA MOLDADA 125A, FORNECIMENTO E INSTALACAO</t>
  </si>
  <si>
    <t>SDC03147</t>
  </si>
  <si>
    <t>QUADRO COM BARRAMENTO TRIFÁSICO PARA DISJUNTOR DE ENTRADA 450A, INCLUINDO FIXAÇÃO, PLACA DE ACRÍLICO SEM BARRAMENTOS SECUNDÁRIOS E SEM DISJUNTOR DE ENTRADA - FORNECIMENTO E INSTALAÇÃO</t>
  </si>
  <si>
    <t>CAIXA DE PASSGEM 50X50X60 FUNDO BRITA C/ TAMPA</t>
  </si>
  <si>
    <t>73769/001</t>
  </si>
  <si>
    <t>POSTE ACO CONICO CONTINUO CURVO SIMPLES SEM BASE C/JANELA 9M (INSPECAO) - FORNECIMENTO E INSTALACAO</t>
  </si>
  <si>
    <t>INSTALAÇÃO ELÉTRICA - ALTA TENSÃO</t>
  </si>
  <si>
    <t>7.2.1</t>
  </si>
  <si>
    <t>SDC03018</t>
  </si>
  <si>
    <t>POSTO DE TRANSFORMAÇÃO DE150 KVA - 13.8KV/220-127V</t>
  </si>
  <si>
    <t>TOTAL INSTALAÇÕES ELÉTRICA</t>
  </si>
  <si>
    <t>SISTEMAS DE PROTEÇÃO CONTRA DESCARGAS ATMOSFÉRICAS</t>
  </si>
  <si>
    <t>TOTAL SPDA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</si>
  <si>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</si>
  <si>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</si>
  <si>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</si>
  <si>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</si>
  <si>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</si>
  <si>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</si>
  <si>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</si>
  <si>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</si>
  <si>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</si>
  <si>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</si>
  <si>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</si>
  <si>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</si>
  <si>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</si>
  <si>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</si>
  <si>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</si>
  <si>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8.1.16</t>
  </si>
  <si>
    <t>8.1.17</t>
  </si>
  <si>
    <t>8.1.18</t>
  </si>
  <si>
    <t>8.1.19</t>
  </si>
  <si>
    <t>8.1.20</t>
  </si>
  <si>
    <t>8.1.21</t>
  </si>
  <si>
    <t>8.1.22</t>
  </si>
  <si>
    <t>8.1.23</t>
  </si>
  <si>
    <t>8.1.24</t>
  </si>
  <si>
    <t>8.1.25</t>
  </si>
  <si>
    <t>8.1.26</t>
  </si>
  <si>
    <t>8.1.27</t>
  </si>
  <si>
    <t>8.1.28</t>
  </si>
  <si>
    <t>8.1.29</t>
  </si>
  <si>
    <t>INSTALAÇÕES DE SEGURANÇA E PREVENÇÃO A COMBATE A INCÊNDIO E PÂNICO</t>
  </si>
  <si>
    <t>9.1.1</t>
  </si>
  <si>
    <t>9.1.2</t>
  </si>
  <si>
    <t>9.1.3</t>
  </si>
  <si>
    <t>9.1.4</t>
  </si>
  <si>
    <t>EXTINTOR INCENDIO TP PO QUIMICO 6KG - FORNECIMENTO E INSTALACAO</t>
  </si>
  <si>
    <t>73775/002</t>
  </si>
  <si>
    <t>EXTINTOR INCENDIO AGUA-PRESSURIZADA 10L INCL SUPORTE PAREDE CARGA     COMPLETA FORNECIMENTO E COLOCACAO</t>
  </si>
  <si>
    <t>9.2.1</t>
  </si>
  <si>
    <t>9.2.2</t>
  </si>
  <si>
    <t>9.3.1</t>
  </si>
  <si>
    <t>SDC03069</t>
  </si>
  <si>
    <t>ELETRODUTO ZINCADO LEVE 3/4" X 3M - FORNECIMENTO E INSTALAÇÃO</t>
  </si>
  <si>
    <t>SDC03070</t>
  </si>
  <si>
    <t>LUVA P/ELETRODUTO ZINCADO 3/4"</t>
  </si>
  <si>
    <t>SDC03005</t>
  </si>
  <si>
    <t>ABRACADEIRA EM ACO PARA AMARRACAO DE ELETRODUTOS, TIPO D, COM 3/4" E CUNHA DE FIXACAO</t>
  </si>
  <si>
    <t>SDC03010</t>
  </si>
  <si>
    <t>ESPELHO / PLACA DE 3 POSTOS 4" X 2", PARA INSTALACAO DE TOMADAS E INTERRUPTORES</t>
  </si>
  <si>
    <t>SDC03123</t>
  </si>
  <si>
    <t>FORNECIMENTO E INSTALAÇÃO DE TAMPA CEGA P/CONDULETE 3/4"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</si>
  <si>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</si>
  <si>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</si>
  <si>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</si>
  <si>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</si>
  <si>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</si>
  <si>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</si>
  <si>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</si>
  <si>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</si>
  <si>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</si>
  <si>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</si>
  <si>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</si>
  <si>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</si>
  <si>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</si>
  <si>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</si>
  <si>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</si>
  <si>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</si>
  <si>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9.3.18</t>
  </si>
  <si>
    <t>9.3.19</t>
  </si>
  <si>
    <t>9.3.20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</si>
  <si>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</si>
  <si>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</si>
  <si>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</si>
  <si>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</si>
  <si>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</si>
  <si>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</si>
  <si>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</si>
  <si>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</si>
  <si>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</si>
  <si>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</si>
  <si>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9.4.11</t>
  </si>
  <si>
    <t>9.4.12</t>
  </si>
  <si>
    <t>9.4.13</t>
  </si>
  <si>
    <t>9.4.14</t>
  </si>
  <si>
    <t>9.4.15</t>
  </si>
  <si>
    <t>9.4.16</t>
  </si>
  <si>
    <t>9.4.17</t>
  </si>
  <si>
    <t>9.4.18</t>
  </si>
  <si>
    <t>9.4.19</t>
  </si>
  <si>
    <t>9.4.20</t>
  </si>
  <si>
    <t>9.4.21</t>
  </si>
  <si>
    <t>9.4.22</t>
  </si>
  <si>
    <t>9.4.23</t>
  </si>
  <si>
    <t>9.4.24</t>
  </si>
  <si>
    <t>9.4.25</t>
  </si>
  <si>
    <t>9.4.26</t>
  </si>
  <si>
    <t>9.4.27</t>
  </si>
  <si>
    <t>9.4.28</t>
  </si>
  <si>
    <t>9.4.29</t>
  </si>
  <si>
    <t>9.4.30</t>
  </si>
  <si>
    <t>9.4.31</t>
  </si>
  <si>
    <t>9.4.32</t>
  </si>
  <si>
    <t>9.4.33</t>
  </si>
  <si>
    <t>9.4.34</t>
  </si>
  <si>
    <t>9.4.35</t>
  </si>
  <si>
    <t>9.4.36</t>
  </si>
  <si>
    <t>9.4.37</t>
  </si>
  <si>
    <t>9.4.38</t>
  </si>
  <si>
    <t>9.4.39</t>
  </si>
  <si>
    <t>9.4.40</t>
  </si>
  <si>
    <t xml:space="preserve"> SDC07029</t>
  </si>
  <si>
    <t>MANGUEIRA DE INCÊNDIO COM UNIÃO DE ENGATE RÁPIDO, 30M - 1 1/2"</t>
  </si>
  <si>
    <t>SDC02094</t>
  </si>
  <si>
    <t>FORNECIMENTO E INSTALAÇÃO DE BOMBA TRIFÁSICA 5CV - 220/380V</t>
  </si>
  <si>
    <t>COTOVELO 45 GRAUS, EM FERRO GALVANIZADO, CONEXÃO ROSQUEADA, DN 65 (2 1/2), INSTALADO EM RESERVAÇÃO DE ÁGUA DE EDIFICAÇÃO QUE POSSUA RESERVATÓRIO DE FIBRA/FIBROCIMENTO  FORNECIMENTO E INSTALAÇÃO. AF_06/2016</t>
  </si>
  <si>
    <t>CHAVE GUARDA MOTOR TRIFASICO 5CV/220V C/ CHAVE MAGNETICA - FORNECIMENTO E INSTALACAO</t>
  </si>
  <si>
    <t>9.5.1</t>
  </si>
  <si>
    <t>9.5.2</t>
  </si>
  <si>
    <t>LUVA COM BUCHA DE LATÃO, PVC, SOLDÁVEL, DN 20MM X 1/2, INSTALADO EM RAMAL OU SUB-RAMAL DE ÁGUA - FORNECIMENTO E INSTALAÇÃO. AF_12/2014</t>
  </si>
  <si>
    <t>LUVA COM BUCHA DE LATÃO, PVC, SOLDÁVEL, DN 25MM X 3/4, INSTALADO EM RAMAL OU SUB-RAMAL DE ÁGUA - FORNECIMENTO E INSTALAÇÃO. AF_12/2014</t>
  </si>
  <si>
    <t>ADAPTADOR CURTO COM BOLSA E ROSCA PARA REGISTRO, PVC, SOLDÁVEL, DN 20MM X 1/2, INSTALADO EM RAMAL OU SUB-RAMAL DE ÁGUA - FORNECIMENTO E INSTALAÇÃO. AF_12/2014</t>
  </si>
  <si>
    <t>ADAPTADOR CURTO COM BOLSA E ROSCA PARA REGISTRO, PVC, SOLDÁVEL, DN 25MM X 3/4, INSTALADO EM RAMAL OU SUB-RAMAL DE ÁGUA - FORNECIMENTO E INSTALAÇÃO. AF_12/2014</t>
  </si>
  <si>
    <t>ADAPTADOR CURTO COM BOLSA E ROSCA PARA REGISTRO, PVC, SOLDÁVEL, DN 50 MM X 1 1/2 , INSTALADO EM RESERVAÇÃO DE ÁGUA DE EDIFICAÇÃO QUE POSSUA RESERVATÓRIO DE FIBRA/FIBROCIMENTO   FORNECIMENTO E INSTALAÇÃO. AF_06/2016</t>
  </si>
  <si>
    <t>ADAPTADOR CURTO COM BOLSA E ROSCA PARA REGISTRO, PVC, SOLDÁVEL, DN 60 MM X 2 , INSTALADO EM RESERVAÇÃO DE ÁGUA DE EDIFICAÇÃO QUE POSSUA RESERVATÓRIO DE FIBRA/FIBROCIMENTO   FORNECIMENTO E INSTALAÇÃO. AF_06/2016</t>
  </si>
  <si>
    <t>ADAPTADOR CURTO COM BOLSA E ROSCA PARA REGISTRO, PVC, SOLDÁVEL, DN 75 MM X 2 1/2 , INSTALADO EM RESERVAÇÃO DE ÁGUA DE EDIFICAÇÃO QUE POSSUA RESERVATÓRIO DE FIBRA/FIBROCIMENTO   FORNECIMENTO E INSTALAÇÃO. AF_06/2016</t>
  </si>
  <si>
    <t>ADAPTADOR CURTO COM BOLSA E ROSCA PARA REGISTRO, PVC, SOLDÁVEL, DN 85 MM X 3 , INSTALADO EM RESERVAÇÃO DE ÁGUA DE EDIFICAÇÃO QUE POSSUA RESERVATÓRIO DE FIBRA/FIBROCIMENTO   FORNECIMENTO E INSTALAÇÃO. AF_06/2016</t>
  </si>
  <si>
    <t>SDC02017</t>
  </si>
  <si>
    <t>BUCHA DE REDUCAO DE PVC, SOLDAVEL, CURTA COM 60 X 50 MM</t>
  </si>
  <si>
    <t>SDC02026</t>
  </si>
  <si>
    <t>BUCHA DE REDUCAO DE PVC, SOLDAVEL, LONGA, COM 85 X 60 MM</t>
  </si>
  <si>
    <t>SDC02088</t>
  </si>
  <si>
    <t>CAP PVC, SOLDAVEL, 25 MM, PARA AGUA FRIA PREDIAL</t>
  </si>
  <si>
    <t>JOELHO 90 GRAUS, PVC, SOLDÁVEL, DN 25MM, INSTALADO EM RAMAL OU SUB-RAMAL DE ÁGUA - FORNECIMENTO E INSTALAÇÃO. AF_12/2014</t>
  </si>
  <si>
    <t>JOELHO 90 GRAUS, PVC, SOLDÁVEL, DN 50 MM INSTALADO EM RESERVAÇÃO DE ÁGUA DE EDIFICAÇÃO QUE POSSUA RESERVATÓRIO DE FIBRA/FIBROCIMENTO   FORNECIMENTO E INSTALAÇÃO. AF_06/2016</t>
  </si>
  <si>
    <t>JOELHO 90 GRAUS, PVC, SOLDÁVEL, DN 60 MM INSTALADO EM RESERVAÇÃO DE ÁGUA DE EDIFICAÇÃO QUE POSSUA RESERVATÓRIO DE FIBRA/FIBROCIMENTO   FORNECIMENTO E INSTALAÇÃO. AF_06/2016</t>
  </si>
  <si>
    <t>JOELHO 90 GRAUS, PVC, SOLDÁVEL, DN 75 MM INSTALADO EM RESERVAÇÃO DE ÁGUA DE EDIFICAÇÃO QUE POSSUA RESERVATÓRIO DE FIBRA/FIBROCIMENTO   FORNECIMENTO E INSTALAÇÃO. AF_06/2016</t>
  </si>
  <si>
    <t>JOELHO 90 GRAUS, PVC, SOLDÁVEL, DN 85 MM INSTALADO EM RESERVAÇÃO DE ÁGUA DE EDIFICAÇÃO QUE POSSUA RESERVATÓRIO DE FIBRA/FIBROCIMENTO   FORNECIMENTO E INSTALAÇÃO. AF_06/2016</t>
  </si>
  <si>
    <t>JOELHO REDUCAO PVC SOLDAVEL 90º AGUA FRIA 25X20MM - FORNECIMENTO E
INSTALACAO</t>
  </si>
  <si>
    <t>TUBO, PVC, SOLDÁVEL, DN 20MM, INSTALADO EM RAMAL OU SUB-RAMAL DE ÁGUA - FORNECIMENTO E INSTALAÇÃO. AF_12/2014</t>
  </si>
  <si>
    <t>TUBO, PVC, SOLDÁVEL, DN  25 MM, INSTALADO EM RESERVAÇÃO DE ÁGUA DE EDIFICAÇÃO QUE POSSUA RESERVATÓRIO DE FIBRA/FIBROCIMENTO   FORNECIMENTO E INSTALAÇÃO. AF_06/2016</t>
  </si>
  <si>
    <t>TUBO, PVC, SOLDÁVEL, DN 50 MM, INSTALADO EM RESERVAÇÃO DE ÁGUA DE EDIFICAÇÃO QUE POSSUA RESERVATÓRIO DE FIBRA/FIBROCIMENTO   FORNECIMENTO E INSTALAÇÃO. AF_06/2016</t>
  </si>
  <si>
    <t>TUBO, PVC, SOLDÁVEL, DN 60 MM, INSTALADO EM RESERVAÇÃO DE ÁGUA DE EDIFICAÇÃO QUE POSSUA RESERVATÓRIO DE FIBRA/FIBROCIMENTO   FORNECIMENTO E INSTALAÇÃO. AF_06/2016</t>
  </si>
  <si>
    <t>TUBO, PVC, SOLDÁVEL, DN 75 MM, INSTALADO EM RESERVAÇÃO DE ÁGUA DE EDIFICAÇÃO QUE POSSUA RESERVATÓRIO DE FIBRA/FIBROCIMENTO   FORNECIMENTO E INSTALAÇÃO. AF_06/2016</t>
  </si>
  <si>
    <t>TUBO, PVC, SOLDÁVEL, DN 85 MM, INSTALADO EM RESERVAÇÃO DE ÁGUA DE EDIFICAÇÃO QUE POSSUA RESERVATÓRIO DE FIBRA/FIBROCIMENTO   FORNECIMENTO E INSTALAÇÃO. AF_06/2016</t>
  </si>
  <si>
    <t>TE, PVC, SOLDÁVEL, DN 25MM, INSTALADO EM RAMAL DE DISTRIBUIÇÃO DE ÁGUA - FORNECIMENTO E INSTALAÇÃO. AF_12/2014</t>
  </si>
  <si>
    <t>REGISTRO DE GAVETA BRUTO, LATÃO, ROSCÁVEL, 2, INSTALADO EM RESERVAÇÃO DE ÁGUA DE EDIFICAÇÃO QUE POSSUA RESERVATÓRIO DE FIBRA/FIBROCIMENTO  FORNECIMENTO E INSTALAÇÃO. AF_06/2016</t>
  </si>
  <si>
    <t>REGISTRO DE GAVETA BRUTO, LATÃO, ROSCÁVEL, 1 1/2, COM ACABAMENTO E CANOPLA CROMADOS, INSTALADO EM RESERVAÇÃO DE ÁGUA DE EDIFICAÇÃO QUE POSSUA RESERVATÓRIO DE FIBRA/FIBROCIMENTO  FORNECIMENTO E INSTALAÇÃO. AF_06/2016</t>
  </si>
  <si>
    <t>TE, PVC, SOLDÁVEL, DN 60MM, INSTALADO EM PRUMADA DE ÁGUA - FORNECIMENTO E INSTALAÇÃO. AF_12/2014</t>
  </si>
  <si>
    <t>TÊ DE REDUÇÃO, PVC, SOLDÁVEL, DN 25MM X 20MM, INSTALADO EM PRUMADA DE ÁGUA - FORNECIMENTO E INSTALAÇÃO. AF_12/2014</t>
  </si>
  <si>
    <t>SDC02100</t>
  </si>
  <si>
    <t>TÊ DE REDUÇÃO, PVC, SOLDÁVEL, DN 50MM X 20MM</t>
  </si>
  <si>
    <t>SDC02197</t>
  </si>
  <si>
    <t>TE DE REDUÇÃO, PVC, SOLDÁVEL, DN 75MM X 50MM, INSTALADO EM PRUMADA DE ÁGUA - FORNECIMENTO E INSTALAÇÃO</t>
  </si>
  <si>
    <t>JOELHO 90 GRAUS COM BUCHA DE LATÃO, PVC, SOLDÁVEL, DN  25 MM, X 3/4 INSTALADO EM RESERVAÇÃO DE ÁGUA DE EDIFICAÇÃO QUE POSSUA RESERVATÓRIO DE FIBRA/FIBROCIMENTO   FORNECIMENTO E INSTALAÇÃO. AF_06/2016</t>
  </si>
  <si>
    <t>SDC02043</t>
  </si>
  <si>
    <t>ELETRODUTO RÍGIDO ROSCÁVEL, PVC, DN 25 MM (3/4"), PARA CIRCUITOS TERMINAIS, INSTALADO EM PAREDE - FORNECIMENTO E INSTALAÇÃO. AF_12/2015</t>
  </si>
  <si>
    <t>LUVA PARA ELETRODUTO, PVC, ROSCÁVEL, DN 25 MM (3/4"), PARA CIRCUITOS TERMINAIS, INSTALADA EM PAREDE - FORNECIMENTO E INSTALAÇÃO. AF_12/2015</t>
  </si>
  <si>
    <t>CONDULETE DE ALUMÍNIO, TIPO E, PARA ELETRODUTO DE FERRO GALVANIZADO DN 20 MM (3/4''), APARENTE - FORNECIMENTO E INSTALAÇÃO. AF_11/2016_P</t>
  </si>
  <si>
    <t xml:space="preserve">Construção de Escola Padrão SEDUC/MT, constituída de:  16 salas de aula, sala de articulação, biblioteca e laboratórios de física, informática e química; Espaços Administrativos – diretoria, secretaria, coordenadoria, sala de professores, arquivo, copa, e sanitários; Refeitório  –  Cozinha com área de higienização, cocção, depósito de alimentos, depósito de utensílios, sanitários e serviços; Quadra Poliesportiva com vestiários feminino e masculino incluindo PCD F/M; instalações elétricas de baixa tensão, posto de transformação, SPDA , instalações hidrossanitárias e instalações combate a incêndio e pânico,  observando as normas vigentes de acessibilidade e segurança, na EE SÃO SIMÃO – Localizada no município de Várzea Grande/MT. </t>
  </si>
  <si>
    <t>Várzea Grande/MT</t>
  </si>
  <si>
    <t>Rua  Dep. Oscar Soares, Quadra 68,  S/ nº, Loteamento São Simão - Varzea Grande/ MT</t>
  </si>
  <si>
    <t>E.E. SÃO SIMÃO</t>
  </si>
  <si>
    <r>
      <t xml:space="preserve">Alíquota de </t>
    </r>
    <r>
      <rPr>
        <b/>
        <i/>
        <u/>
        <sz val="11"/>
        <color indexed="10"/>
        <rFont val="Calibri Light"/>
        <family val="2"/>
      </rPr>
      <t>VARZEA GRANDE</t>
    </r>
    <r>
      <rPr>
        <i/>
        <sz val="11"/>
        <color indexed="10"/>
        <rFont val="Calibri Light"/>
        <family val="2"/>
      </rPr>
      <t xml:space="preserve"> = 5,0%</t>
    </r>
  </si>
  <si>
    <t>5.14.10.2</t>
  </si>
  <si>
    <t>5.14.10.3</t>
  </si>
  <si>
    <t>TINTA ESMALTE SINTÉTICO, COR REF. PANTONE 3125U, GL 3,2L</t>
  </si>
  <si>
    <t>TINTA ESMALTE SINTÉTICO, COR REF. PANTONE 2758U, GL 3,2L</t>
  </si>
  <si>
    <t>AMERICA PAINEIS - COMUNICAÇÃO VISUAL</t>
  </si>
  <si>
    <t>ISRAEL</t>
  </si>
  <si>
    <t>SÓ TOLDOS</t>
  </si>
  <si>
    <t>ERLEI</t>
  </si>
  <si>
    <t>SOLEIRA DE GRANITO</t>
  </si>
  <si>
    <t>SERRALHERIA PINHEIRO</t>
  </si>
  <si>
    <t>9'9607-7626</t>
  </si>
  <si>
    <t>GENIVALDO</t>
  </si>
  <si>
    <t>CENTRO AÇO</t>
  </si>
  <si>
    <t>99986-5352</t>
  </si>
  <si>
    <t>CNN INOX</t>
  </si>
  <si>
    <t>LAJE PRÉ-MOLDADA DE COBERTURA TRELIÇADA, C/ H=12CM, APOIO SIMPLES, INCLUSIVE EPS</t>
  </si>
  <si>
    <t>LAJE TRELIÇADA</t>
  </si>
  <si>
    <t>3637-1329</t>
  </si>
  <si>
    <t>SCM ENGENHARIA</t>
  </si>
  <si>
    <t>08.580.820/0001-01</t>
  </si>
  <si>
    <t>3358-7742</t>
  </si>
  <si>
    <t>PREMOLDAR</t>
  </si>
  <si>
    <t>3667-0990</t>
  </si>
  <si>
    <t>CLENEO</t>
  </si>
  <si>
    <t>RESERVATÓRIO METÁLICO TIPO TAÇA 5.000 LT, COM COLUNA SECA</t>
  </si>
  <si>
    <t>AÇOBETT</t>
  </si>
  <si>
    <t>02.465.581/0001-62</t>
  </si>
  <si>
    <t>3661-1135</t>
  </si>
  <si>
    <t>CINTHIA</t>
  </si>
  <si>
    <t>METALÚRGICA BRASFFER</t>
  </si>
  <si>
    <t>98458-9142</t>
  </si>
  <si>
    <t>ROSANA</t>
  </si>
  <si>
    <t>SVG METALÚRGICA</t>
  </si>
  <si>
    <t>10.357.293/0001-12</t>
  </si>
  <si>
    <t>3682-6168</t>
  </si>
  <si>
    <t>IURI</t>
  </si>
  <si>
    <t>RESERVATÓRIO METÁLICO TIPO TAÇA 10.000 LT, COM COLUNA SECA</t>
  </si>
  <si>
    <t>BOMBA TRIFÁSICA 5CV - 220/380v</t>
  </si>
  <si>
    <t>Bancada para cozinha em aço inox nas dimensões 3,20 x0,80m</t>
  </si>
  <si>
    <t>MAQ-INOXMET. IND. COM.</t>
  </si>
  <si>
    <t>GILMAR</t>
  </si>
  <si>
    <t>MULTIBAR INOX E REFRIGERAÇÃO</t>
  </si>
  <si>
    <t>04.816.663/0001-30</t>
  </si>
  <si>
    <t>SIDNEY</t>
  </si>
  <si>
    <t>ALTINOX MOVEIS E EQUIPAMENTOS</t>
  </si>
  <si>
    <t>HAILTON</t>
  </si>
  <si>
    <t>Bancada para cozinha em aço inox nas dimensões 1,60 x0,60m</t>
  </si>
  <si>
    <t>QUADRO DE COMANDO, EM CAHAPA DE AÇO, 1200X800X250MM</t>
  </si>
  <si>
    <t>TAMPA CEGA PARA CONDULETE 3/4"</t>
  </si>
  <si>
    <t>Alça pré-formada para cabo 6,4mm²</t>
  </si>
  <si>
    <t>Pizzatto Materiais Elétricos</t>
  </si>
  <si>
    <t>Odenir</t>
  </si>
  <si>
    <t>Arruela espaçadora</t>
  </si>
  <si>
    <t>01/2017</t>
  </si>
  <si>
    <t>Arruela quadrada, em aço galvanizado, d=38mm, esp.=3mm, abertura 8mm</t>
  </si>
  <si>
    <t>Cabeçote de aço galvanizado de 4" (100mm)</t>
  </si>
  <si>
    <t>Cabo XLPE 16mm, 15Kv rigido</t>
  </si>
  <si>
    <t>Caixa de medição indireta +TC + disjuntor (padrão Energisa)</t>
  </si>
  <si>
    <t>SMA Sistema de Montagem e Automação</t>
  </si>
  <si>
    <t>05.361.219/0001-30</t>
  </si>
  <si>
    <t>3661-6383</t>
  </si>
  <si>
    <t>Ailton</t>
  </si>
  <si>
    <t>Capa protetora para conector cunha - aplicação em conectores para cabos CA de 35 a 185 mm²</t>
  </si>
  <si>
    <t>Cartucho para conector cunha (vermelho)</t>
  </si>
  <si>
    <t>Chave fusível tipo C 15KV, 10KA</t>
  </si>
  <si>
    <t>Conector derivação cunha tipo estribo normal (626222-1 - AMP - vermelho)</t>
  </si>
  <si>
    <t>Conector tipo II vd x (10/25mm)</t>
  </si>
  <si>
    <t>Cruzeta de concreto 90x90x2000mm, 250 daN, retangular</t>
  </si>
  <si>
    <t>Eletroduto de aço com costura galvanizado a fogo, diam. 4", barra de 3 metros</t>
  </si>
  <si>
    <t>To Ligado Materiais Elétricos</t>
  </si>
  <si>
    <t>3643-6443</t>
  </si>
  <si>
    <t>Sérgio</t>
  </si>
  <si>
    <t>3634-5253</t>
  </si>
  <si>
    <t>Altemar</t>
  </si>
  <si>
    <t>Elo fusivel 8K</t>
  </si>
  <si>
    <t>Fixador de perfil U para rede compactada</t>
  </si>
  <si>
    <t>Gancho suspensão olhal em aço galvanizado espessura 16mm, abertura 21mm</t>
  </si>
  <si>
    <t>Grampo de ancoragem para cabo coberto de 15Kv 35mm</t>
  </si>
  <si>
    <t>Grampo linha viva GLV-95 aluminio</t>
  </si>
  <si>
    <t>Isolador ancoragem tipo polimérico isolação 15KV 18mm</t>
  </si>
  <si>
    <t>Manilha sapatilha</t>
  </si>
  <si>
    <t>Mão francesa plana de 619x32x5mm</t>
  </si>
  <si>
    <t>Olhal para parafuso tipo M16 ( bitola 5/8")</t>
  </si>
  <si>
    <t>Parafuso, cabeça quadrada 100x16mm</t>
  </si>
  <si>
    <t>Para-raio de distribuição 12KV, polimérico, 10 KA</t>
  </si>
  <si>
    <t>Perfil U para rede compactada</t>
  </si>
  <si>
    <t>Poste de concreto armado, seção DT 10/1000</t>
  </si>
  <si>
    <t>Protetor de bucha de AT de transformador - 15KV</t>
  </si>
  <si>
    <t>Solda exotermica 90</t>
  </si>
  <si>
    <t>REDE DISTRIBUIDORA</t>
  </si>
  <si>
    <t>11.138.453/0001-03</t>
  </si>
  <si>
    <t>3634-6949</t>
  </si>
  <si>
    <t>RODRIGO</t>
  </si>
  <si>
    <t>Suporte de transformação chapa 360x76x10mm para poste duplo T</t>
  </si>
  <si>
    <t>1130429886</t>
  </si>
  <si>
    <t>CHUVEIRO E LAVA OLHOS  EM AÇO GALVANIZADO COM ACIONAMENTO MANUAL  NO PISO</t>
  </si>
  <si>
    <t>LP COMERCIO E REPRESENTAÇÕES</t>
  </si>
  <si>
    <t>10.832.896/0001-29</t>
  </si>
  <si>
    <t>CRISTIANE</t>
  </si>
  <si>
    <t>LABORMERD PROD. MED. HOSP. LABORATORIAIS</t>
  </si>
  <si>
    <t>14.442.229/0001-90</t>
  </si>
  <si>
    <t>ANDERSON</t>
  </si>
  <si>
    <t xml:space="preserve"> KIT PLAYGOUND, METALICO, CONTENDO: GIRA-GIRA 7 LUGARES; BALANÇO 4 LUGARES; ESCORREGADOR GRANDE; GANGORRA DUPLA E CASINHA CONJUGADA</t>
  </si>
  <si>
    <t>SERRALHERIA ANÉSIO</t>
  </si>
  <si>
    <t>ANÉSIO</t>
  </si>
  <si>
    <t>SERRALHERIA GLOBAL</t>
  </si>
  <si>
    <t>ELIAS</t>
  </si>
  <si>
    <t>BICICLETARIO PARA 12 BICICLETAS, EM AÇO, INCLUSIVE PINTURA ANTICORROSIVA E SINTETICA</t>
  </si>
  <si>
    <t>SERRALHERIA E METALURGICA JESUS</t>
  </si>
  <si>
    <t>20.628.070/0001-42</t>
  </si>
  <si>
    <t>VALDECI</t>
  </si>
  <si>
    <t>METALURGICA BRASFFER</t>
  </si>
  <si>
    <t>17.995.677/0001-00</t>
  </si>
  <si>
    <t>ANEL DE TEXTURA PARA CORRIMÃO, EM BORRACHA</t>
  </si>
  <si>
    <t>PERIQUITÃO</t>
  </si>
  <si>
    <t>Viveiro Mato Grosso</t>
  </si>
  <si>
    <t>11.057.057/0001-43</t>
  </si>
  <si>
    <t>3627-2410</t>
  </si>
  <si>
    <t>Maxuel</t>
  </si>
  <si>
    <t>Viveiro America</t>
  </si>
  <si>
    <t>15.844.241/0001-94</t>
  </si>
  <si>
    <t>Florais Paisagismo</t>
  </si>
  <si>
    <t>19.489.049/0001-88</t>
  </si>
  <si>
    <t>3624-1432</t>
  </si>
  <si>
    <t>9607-7626</t>
  </si>
  <si>
    <t>3653-2049</t>
  </si>
  <si>
    <t>BARRAMENTO DE COBRE 450A</t>
  </si>
  <si>
    <t>FITA ADESIVA FOTOLUMINESCENTE 2,5MM X 9 METROS</t>
  </si>
  <si>
    <t>SETON - Soluções para Sinalização, Proteção e Identificação</t>
  </si>
  <si>
    <t>01.111.039/0004-91</t>
  </si>
  <si>
    <t xml:space="preserve">(11) 4166-1202 </t>
  </si>
  <si>
    <t>BARRA CHATA, COBRE, 1. 1/4 x 1/4 - 449A</t>
  </si>
  <si>
    <t>eletrica uniao</t>
  </si>
  <si>
    <r>
      <t>CAIXA DE INSPEÇÃO TIPO SOLO EM PVC COM DIAMETRO 300MM</t>
    </r>
    <r>
      <rPr>
        <b/>
        <sz val="10"/>
        <color rgb="FFFF0000"/>
        <rFont val="Arial"/>
        <family val="2"/>
      </rPr>
      <t/>
    </r>
  </si>
  <si>
    <t>Composições Analíticas com Preço Unitário</t>
  </si>
  <si>
    <t xml:space="preserve"> COMPOSIÇÃO 2 </t>
  </si>
  <si>
    <t>277.244,90</t>
  </si>
  <si>
    <t>1760,0</t>
  </si>
  <si>
    <t>3600,0</t>
  </si>
  <si>
    <t>1080,0</t>
  </si>
  <si>
    <t xml:space="preserve"> 93572 </t>
  </si>
  <si>
    <t>ENCARREGADO GERAL DE OBRAS COM ENCARGOS COMPLEMENTARES</t>
  </si>
  <si>
    <t>3.534,12</t>
  </si>
  <si>
    <t xml:space="preserve"> 2.1 </t>
  </si>
  <si>
    <t xml:space="preserve"> 3.7 </t>
  </si>
  <si>
    <t xml:space="preserve"> 4.1.2 </t>
  </si>
  <si>
    <t xml:space="preserve"> 4.2.2 </t>
  </si>
  <si>
    <t xml:space="preserve"> 4.2.3 </t>
  </si>
  <si>
    <t xml:space="preserve"> 4.2.4 </t>
  </si>
  <si>
    <t xml:space="preserve"> 4.2.5 </t>
  </si>
  <si>
    <t xml:space="preserve"> SDC01029 </t>
  </si>
  <si>
    <t>1.746,02</t>
  </si>
  <si>
    <t xml:space="preserve"> 88325 </t>
  </si>
  <si>
    <t>VIDRACEIRO COM ENCARGOS COMPLEMENTARES</t>
  </si>
  <si>
    <t>15,32</t>
  </si>
  <si>
    <t xml:space="preserve"> 00003104 </t>
  </si>
  <si>
    <t>JOGO DE FERRAGENS CROMADAS P/ PORTA DE VIDRO TEMPERADO, UMA FOLHA COMPOSTA: DOBRADICA SUPERIOR (101) E INFERIOR (103),TRINCO (502), FECHADURA (520),CONTRA FECHADURA (531),COM CAPUCHINHO</t>
  </si>
  <si>
    <t>331,68</t>
  </si>
  <si>
    <t xml:space="preserve"> 00010507 </t>
  </si>
  <si>
    <t>VIDRO TEMPERADO INCOLOR E = 10 MM, SEM COLOCACAO</t>
  </si>
  <si>
    <t>194,15</t>
  </si>
  <si>
    <t xml:space="preserve"> 00011499 </t>
  </si>
  <si>
    <t>MOLA HIDRAULICA DE PISO P/ VIDRO TEMPERADO 10MM</t>
  </si>
  <si>
    <t>989,78</t>
  </si>
  <si>
    <t xml:space="preserve"> 00011523 </t>
  </si>
  <si>
    <t>PUXADOR CONCHA DE EMBUTIR, EM LATAO CROMADO, PARA PORTA / JANELA DE CORRER, LISO, SEM FURO PARA CHAVE, COM FUROS PARA FIXAR PARAFUSOS, *30 X 90* MM (LARGURA X ALTURA)</t>
  </si>
  <si>
    <t>12,26</t>
  </si>
  <si>
    <t xml:space="preserve"> 4.2.6 </t>
  </si>
  <si>
    <t xml:space="preserve"> SDC01030 </t>
  </si>
  <si>
    <t>3.492,06</t>
  </si>
  <si>
    <t>4,2</t>
  </si>
  <si>
    <t xml:space="preserve"> 4.2.7 </t>
  </si>
  <si>
    <t xml:space="preserve"> 4.2.9 </t>
  </si>
  <si>
    <t xml:space="preserve"> SDC04024 </t>
  </si>
  <si>
    <t>816,10</t>
  </si>
  <si>
    <t>2,2</t>
  </si>
  <si>
    <t>4,5</t>
  </si>
  <si>
    <t xml:space="preserve"> 00034360 </t>
  </si>
  <si>
    <t>PERFIL DE ALUMINIO ANODIZADO</t>
  </si>
  <si>
    <t>39,80</t>
  </si>
  <si>
    <t xml:space="preserve"> 00034391 </t>
  </si>
  <si>
    <t>VIDRO COMUM LAMINADO LISO INCOLOR DUPLO, ESPESSURA TOTAL 8 MM (CADA CAMADA DE 4 MM) - COLOCADO</t>
  </si>
  <si>
    <t>574,38</t>
  </si>
  <si>
    <t xml:space="preserve"> 4.5.6 </t>
  </si>
  <si>
    <t xml:space="preserve"> 4.6.2 </t>
  </si>
  <si>
    <t xml:space="preserve"> SDC01096 </t>
  </si>
  <si>
    <t>78,90</t>
  </si>
  <si>
    <t xml:space="preserve"> 87373 </t>
  </si>
  <si>
    <t>ARGAMASSA TRAÇO 1:4 (CIMENTO E AREIA MÉDIA) PARA CONTRAPISO, PREPARO MANUAL. AF_06/2014</t>
  </si>
  <si>
    <t>454,65</t>
  </si>
  <si>
    <t xml:space="preserve"> 00000208 </t>
  </si>
  <si>
    <t>SOLEIRA DE GRANITO BRANCO ITAÚNAS</t>
  </si>
  <si>
    <t xml:space="preserve"> 4.7.7 </t>
  </si>
  <si>
    <t xml:space="preserve"> 4.7.10 </t>
  </si>
  <si>
    <t xml:space="preserve"> SDC01019 </t>
  </si>
  <si>
    <t>11,93</t>
  </si>
  <si>
    <t xml:space="preserve"> 00006091 </t>
  </si>
  <si>
    <t>LIQUIDO PARA BRILHO PAREDES INTERNAS</t>
  </si>
  <si>
    <t>10,95</t>
  </si>
  <si>
    <t xml:space="preserve"> 4.8.2 </t>
  </si>
  <si>
    <t xml:space="preserve"> 4.9.2 </t>
  </si>
  <si>
    <t xml:space="preserve"> 4.9.3 </t>
  </si>
  <si>
    <t xml:space="preserve"> SDC04061 </t>
  </si>
  <si>
    <t>3,48</t>
  </si>
  <si>
    <t>0,005</t>
  </si>
  <si>
    <t xml:space="preserve"> 00000252 </t>
  </si>
  <si>
    <t>3,00</t>
  </si>
  <si>
    <t xml:space="preserve"> 00025951 </t>
  </si>
  <si>
    <t>FERTILIZANTE NPK - 10:10:10</t>
  </si>
  <si>
    <t xml:space="preserve"> 00025963 </t>
  </si>
  <si>
    <t>CALCARIO DOLOMITICO A (POSTO PEDREIRA/FORNECEDOR, SEM FRETE)</t>
  </si>
  <si>
    <t xml:space="preserve"> 4.9.6 </t>
  </si>
  <si>
    <t xml:space="preserve"> SDC04062 </t>
  </si>
  <si>
    <t>54,76</t>
  </si>
  <si>
    <t xml:space="preserve"> 88441 </t>
  </si>
  <si>
    <t>JARDINEIRO COM ENCARGOS COMPLEMENTARES</t>
  </si>
  <si>
    <t>0,074</t>
  </si>
  <si>
    <t xml:space="preserve"> 00000253 </t>
  </si>
  <si>
    <t>PRIMAVERA 1M DE ALTURA</t>
  </si>
  <si>
    <t>45,00</t>
  </si>
  <si>
    <t xml:space="preserve"> 4.10.1 </t>
  </si>
  <si>
    <t xml:space="preserve"> 4.10.2 </t>
  </si>
  <si>
    <t xml:space="preserve"> 4.10.4 </t>
  </si>
  <si>
    <t xml:space="preserve"> 4.10.5 </t>
  </si>
  <si>
    <t xml:space="preserve"> 4.10.6 </t>
  </si>
  <si>
    <t xml:space="preserve"> SDC04044 </t>
  </si>
  <si>
    <t>1.400,00</t>
  </si>
  <si>
    <t xml:space="preserve"> 00000248 </t>
  </si>
  <si>
    <t xml:space="preserve"> 4.10.7 </t>
  </si>
  <si>
    <t xml:space="preserve"> 4.10.8 </t>
  </si>
  <si>
    <t xml:space="preserve"> 4.10.10 </t>
  </si>
  <si>
    <t xml:space="preserve"> SDC04022 </t>
  </si>
  <si>
    <t>7.400,00</t>
  </si>
  <si>
    <t xml:space="preserve"> 00000054 </t>
  </si>
  <si>
    <t>KIT PLAYGROUND, METALICO, CONTENDO: GIRA-GIRA 7 LUGARES; BALANÇO 4 LUGARES; ESCORREGADOR GRANDE; GANGORRA DUPLA E CASINHA CONJUGADA</t>
  </si>
  <si>
    <t xml:space="preserve"> 4.10.11 </t>
  </si>
  <si>
    <t xml:space="preserve"> 4.10.12 </t>
  </si>
  <si>
    <t xml:space="preserve"> 4.10.13 </t>
  </si>
  <si>
    <t xml:space="preserve"> 4.10.14 </t>
  </si>
  <si>
    <t xml:space="preserve"> 4.10.15 </t>
  </si>
  <si>
    <t xml:space="preserve"> 4.10.16 </t>
  </si>
  <si>
    <t xml:space="preserve"> SDC01081 </t>
  </si>
  <si>
    <t>322,50</t>
  </si>
  <si>
    <t xml:space="preserve"> 00000237 </t>
  </si>
  <si>
    <t xml:space="preserve"> 4.10.17 </t>
  </si>
  <si>
    <t xml:space="preserve"> SDC01095 </t>
  </si>
  <si>
    <t>324,71</t>
  </si>
  <si>
    <t>1,697</t>
  </si>
  <si>
    <t>0,848</t>
  </si>
  <si>
    <t xml:space="preserve"> 00000281 </t>
  </si>
  <si>
    <t xml:space="preserve"> 4.10.18 </t>
  </si>
  <si>
    <t xml:space="preserve"> 4.10.19 </t>
  </si>
  <si>
    <t xml:space="preserve"> SDC01101 </t>
  </si>
  <si>
    <t>81,39</t>
  </si>
  <si>
    <t xml:space="preserve"> 4.10.20 </t>
  </si>
  <si>
    <t xml:space="preserve"> SDC04067 </t>
  </si>
  <si>
    <t>374,08</t>
  </si>
  <si>
    <t>1,914</t>
  </si>
  <si>
    <t>2,232</t>
  </si>
  <si>
    <t>2,209</t>
  </si>
  <si>
    <t xml:space="preserve"> 00003989 </t>
  </si>
  <si>
    <t>MADEIRA SERRADA APARELHADA DE MACARANDUBA, ANGELIM OU EQUIVALENTE DA REGIAO</t>
  </si>
  <si>
    <t>1.171,57</t>
  </si>
  <si>
    <t xml:space="preserve"> 00000284 </t>
  </si>
  <si>
    <t xml:space="preserve"> 4.11.1 </t>
  </si>
  <si>
    <t xml:space="preserve"> 4.11.2 </t>
  </si>
  <si>
    <t xml:space="preserve"> SDC04045 </t>
  </si>
  <si>
    <t>15,10</t>
  </si>
  <si>
    <t xml:space="preserve"> 665 </t>
  </si>
  <si>
    <t>125,97</t>
  </si>
  <si>
    <t xml:space="preserve"> 4.11.5 </t>
  </si>
  <si>
    <t xml:space="preserve"> SDC01038 </t>
  </si>
  <si>
    <t>16,69</t>
  </si>
  <si>
    <t xml:space="preserve"> 00000216 </t>
  </si>
  <si>
    <t>39,53</t>
  </si>
  <si>
    <t xml:space="preserve"> 4.11.6 </t>
  </si>
  <si>
    <t xml:space="preserve"> SDC04051 </t>
  </si>
  <si>
    <t>19,90</t>
  </si>
  <si>
    <t xml:space="preserve"> 00000060 </t>
  </si>
  <si>
    <t xml:space="preserve"> 4.11.7 </t>
  </si>
  <si>
    <t xml:space="preserve"> 4.11.8 </t>
  </si>
  <si>
    <t xml:space="preserve"> 4.11.9 </t>
  </si>
  <si>
    <t xml:space="preserve"> 4.12.1 </t>
  </si>
  <si>
    <t xml:space="preserve"> 4.12.11 </t>
  </si>
  <si>
    <t xml:space="preserve"> 4.12.12 </t>
  </si>
  <si>
    <t xml:space="preserve"> 4.14.1 </t>
  </si>
  <si>
    <t xml:space="preserve"> 4.15.1 </t>
  </si>
  <si>
    <t xml:space="preserve"> 4.15.2 </t>
  </si>
  <si>
    <t xml:space="preserve"> 4.15.4 </t>
  </si>
  <si>
    <t xml:space="preserve"> 4.18.7 </t>
  </si>
  <si>
    <t xml:space="preserve"> 4.19.4 </t>
  </si>
  <si>
    <t xml:space="preserve"> 4.20.2 </t>
  </si>
  <si>
    <t xml:space="preserve"> 4.20.7 </t>
  </si>
  <si>
    <t xml:space="preserve"> 4.21.2 </t>
  </si>
  <si>
    <t xml:space="preserve"> 4.21.3 </t>
  </si>
  <si>
    <t xml:space="preserve"> 4.21.4 </t>
  </si>
  <si>
    <t xml:space="preserve"> 4.25.1 </t>
  </si>
  <si>
    <t xml:space="preserve"> 4.29.2 </t>
  </si>
  <si>
    <t xml:space="preserve"> 4.30.2 </t>
  </si>
  <si>
    <t xml:space="preserve"> 4.31.2 </t>
  </si>
  <si>
    <t xml:space="preserve"> 4.31.5 </t>
  </si>
  <si>
    <t xml:space="preserve"> 4.31.6 </t>
  </si>
  <si>
    <t xml:space="preserve"> SDC01039 </t>
  </si>
  <si>
    <t>16,26</t>
  </si>
  <si>
    <t xml:space="preserve"> 4.31.7 </t>
  </si>
  <si>
    <t xml:space="preserve"> SDC01037 </t>
  </si>
  <si>
    <t>17,73</t>
  </si>
  <si>
    <t xml:space="preserve"> 00000218 </t>
  </si>
  <si>
    <t>45,31</t>
  </si>
  <si>
    <t xml:space="preserve"> 4.32.1 </t>
  </si>
  <si>
    <t xml:space="preserve"> 4.32.3 </t>
  </si>
  <si>
    <t xml:space="preserve"> 4.32.4 </t>
  </si>
  <si>
    <t xml:space="preserve"> 4.32.5 </t>
  </si>
  <si>
    <t xml:space="preserve"> 4.32.6 </t>
  </si>
  <si>
    <t xml:space="preserve"> 4.32.7 </t>
  </si>
  <si>
    <t xml:space="preserve"> 4.32.8 </t>
  </si>
  <si>
    <t xml:space="preserve"> 4.32.10 </t>
  </si>
  <si>
    <t xml:space="preserve"> 4.32.11 </t>
  </si>
  <si>
    <t xml:space="preserve"> 4.32.12 </t>
  </si>
  <si>
    <t xml:space="preserve"> 4.32.13 </t>
  </si>
  <si>
    <t xml:space="preserve"> 4.32.14 </t>
  </si>
  <si>
    <t xml:space="preserve"> SDC02071 </t>
  </si>
  <si>
    <t>917,47</t>
  </si>
  <si>
    <t xml:space="preserve"> 00036215 </t>
  </si>
  <si>
    <t>BANCO ARTICULADO PARA BANHO, EM ACO INOX POLIDO, 70* CM X 45* CM</t>
  </si>
  <si>
    <t>900,38</t>
  </si>
  <si>
    <t xml:space="preserve"> 5.1.1 </t>
  </si>
  <si>
    <t xml:space="preserve"> 5.2.2 </t>
  </si>
  <si>
    <t xml:space="preserve"> 5.2.3 </t>
  </si>
  <si>
    <t xml:space="preserve"> 5.2.13 </t>
  </si>
  <si>
    <t xml:space="preserve"> 5.3.1 </t>
  </si>
  <si>
    <t xml:space="preserve"> 5.3.3 </t>
  </si>
  <si>
    <t xml:space="preserve"> 5.4.2 </t>
  </si>
  <si>
    <t xml:space="preserve"> 5.5.2 </t>
  </si>
  <si>
    <t xml:space="preserve"> 5.6.2 </t>
  </si>
  <si>
    <t xml:space="preserve"> 5.6.3 </t>
  </si>
  <si>
    <t xml:space="preserve"> 5.6.4 </t>
  </si>
  <si>
    <t xml:space="preserve"> 5.6.5 </t>
  </si>
  <si>
    <t xml:space="preserve"> 5.7.2 </t>
  </si>
  <si>
    <t xml:space="preserve"> 5.8.2 </t>
  </si>
  <si>
    <t xml:space="preserve"> 5.9.1 </t>
  </si>
  <si>
    <t xml:space="preserve"> SDC01016 </t>
  </si>
  <si>
    <t>89,79</t>
  </si>
  <si>
    <t xml:space="preserve"> 00000231 </t>
  </si>
  <si>
    <t xml:space="preserve"> 00005075 </t>
  </si>
  <si>
    <t>PREGO DE ACO POLIDO COM CABECA 18 X 30 (2 3/4 X 10)</t>
  </si>
  <si>
    <t xml:space="preserve"> 5.10.1 </t>
  </si>
  <si>
    <t xml:space="preserve"> 5.10.2 </t>
  </si>
  <si>
    <t xml:space="preserve"> 5.11.9 </t>
  </si>
  <si>
    <t xml:space="preserve"> 5.12.2.2 </t>
  </si>
  <si>
    <t xml:space="preserve"> 5.12.2.3 </t>
  </si>
  <si>
    <t xml:space="preserve"> 5.12.2.4 </t>
  </si>
  <si>
    <t xml:space="preserve"> 5.12.2.5 </t>
  </si>
  <si>
    <t xml:space="preserve"> 5.12.3.2 </t>
  </si>
  <si>
    <t xml:space="preserve"> 5.12.4.2 </t>
  </si>
  <si>
    <t xml:space="preserve"> 5.12.5.1 </t>
  </si>
  <si>
    <t xml:space="preserve"> 5.12.5.2 </t>
  </si>
  <si>
    <t xml:space="preserve"> 5.13.1.1 </t>
  </si>
  <si>
    <t xml:space="preserve"> 5.13.2.9 </t>
  </si>
  <si>
    <t xml:space="preserve"> 5.13.3.1 </t>
  </si>
  <si>
    <t xml:space="preserve"> 5.13.4.2 </t>
  </si>
  <si>
    <t xml:space="preserve"> 5.13.4.3 </t>
  </si>
  <si>
    <t xml:space="preserve"> 5.13.4.4 </t>
  </si>
  <si>
    <t xml:space="preserve"> 5.13.4.5 </t>
  </si>
  <si>
    <t xml:space="preserve"> 5.13.4.6 </t>
  </si>
  <si>
    <t xml:space="preserve"> 5.13.5.2 </t>
  </si>
  <si>
    <t xml:space="preserve"> 5.13.6.2 </t>
  </si>
  <si>
    <t xml:space="preserve"> 5.13.7.2 </t>
  </si>
  <si>
    <t xml:space="preserve"> 5.13.8.1 </t>
  </si>
  <si>
    <t xml:space="preserve"> 5.13.9.1 </t>
  </si>
  <si>
    <t xml:space="preserve"> 5.13.9.2 </t>
  </si>
  <si>
    <t xml:space="preserve"> 5.14.1.1 </t>
  </si>
  <si>
    <t xml:space="preserve"> 5.14.2.2 </t>
  </si>
  <si>
    <t xml:space="preserve"> 5.14.2.3 </t>
  </si>
  <si>
    <t xml:space="preserve"> 5.14.3.1 </t>
  </si>
  <si>
    <t xml:space="preserve"> 5.14.3.3 </t>
  </si>
  <si>
    <t xml:space="preserve"> 5.14.4.2 </t>
  </si>
  <si>
    <t xml:space="preserve"> 5.14.5.2 </t>
  </si>
  <si>
    <t xml:space="preserve"> 5.14.5.3 </t>
  </si>
  <si>
    <t xml:space="preserve"> 5.14.5.4 </t>
  </si>
  <si>
    <t xml:space="preserve"> 5.14.5.5 </t>
  </si>
  <si>
    <t xml:space="preserve"> 5.14.5.6 </t>
  </si>
  <si>
    <t xml:space="preserve"> 5.14.5.7 </t>
  </si>
  <si>
    <t xml:space="preserve"> 5.14.5.8 </t>
  </si>
  <si>
    <t xml:space="preserve"> SDC01009 </t>
  </si>
  <si>
    <t>5,48</t>
  </si>
  <si>
    <t>0,0023</t>
  </si>
  <si>
    <t>0,0142</t>
  </si>
  <si>
    <t xml:space="preserve"> 92798 </t>
  </si>
  <si>
    <t>CORTE E DOBRA DE AÇO CA-50, DIÂMETRO DE 25,0 MM, UTILIZADO EM ESTRUTURAS DIVERSAS, EXCETO LAJES. AF_12/2015</t>
  </si>
  <si>
    <t xml:space="preserve"> 5.14.6.2 </t>
  </si>
  <si>
    <t xml:space="preserve"> 5.14.7.2 </t>
  </si>
  <si>
    <t xml:space="preserve"> 5.14.8.2 </t>
  </si>
  <si>
    <t xml:space="preserve"> 5.14.9.1 </t>
  </si>
  <si>
    <t xml:space="preserve"> 5.14.10.1 </t>
  </si>
  <si>
    <t xml:space="preserve"> 5.14.10.2 </t>
  </si>
  <si>
    <t xml:space="preserve"> 5.14.11.1 </t>
  </si>
  <si>
    <t xml:space="preserve"> 5.14.11.2 </t>
  </si>
  <si>
    <t xml:space="preserve"> 5.14.12.2 </t>
  </si>
  <si>
    <t xml:space="preserve"> 5.14.12.4 </t>
  </si>
  <si>
    <t xml:space="preserve"> 6.1.9 </t>
  </si>
  <si>
    <t xml:space="preserve"> SDC02101 </t>
  </si>
  <si>
    <t>2,49</t>
  </si>
  <si>
    <t>0,045</t>
  </si>
  <si>
    <t xml:space="preserve"> 95335 </t>
  </si>
  <si>
    <t>CURSO DE CAPACITAÇÃO PARA ENCANADOR OU BOMBEIRO HIDRÁULICO (ENCARGOS COMPLEMENTARES) - HORISTA</t>
  </si>
  <si>
    <t>0,0064</t>
  </si>
  <si>
    <t>0,0055</t>
  </si>
  <si>
    <t xml:space="preserve"> 00001189 </t>
  </si>
  <si>
    <t>CAP PVC, SOLDAVEL, 32 MM, PARA AGUA FRIA PREDIAL</t>
  </si>
  <si>
    <t>1,36</t>
  </si>
  <si>
    <t xml:space="preserve"> 6.2.11 </t>
  </si>
  <si>
    <t xml:space="preserve"> SDC02017 </t>
  </si>
  <si>
    <t>11,26</t>
  </si>
  <si>
    <t>0,014</t>
  </si>
  <si>
    <t xml:space="preserve"> 00000818 </t>
  </si>
  <si>
    <t>BUCHA DE REDUCAO DE PVC, SOLDAVEL, CURTA, COM 60 X 50 MM, PARA AGUA FRIA PREDIAL</t>
  </si>
  <si>
    <t>5,47</t>
  </si>
  <si>
    <t xml:space="preserve"> 6.2.12 </t>
  </si>
  <si>
    <t xml:space="preserve"> 6.2.13 </t>
  </si>
  <si>
    <t xml:space="preserve"> 6.2.14 </t>
  </si>
  <si>
    <t xml:space="preserve"> 6.2.15 </t>
  </si>
  <si>
    <t xml:space="preserve"> 6.2.16 </t>
  </si>
  <si>
    <t xml:space="preserve"> SDC02026 </t>
  </si>
  <si>
    <t>30,59</t>
  </si>
  <si>
    <t>0,077</t>
  </si>
  <si>
    <t xml:space="preserve"> 00000817 </t>
  </si>
  <si>
    <t>BUCHA DE REDUCAO DE PVC, SOLDAVEL, LONGA, COM 85 X 60 MM, PARA AGUA FRIA PREDIAL</t>
  </si>
  <si>
    <t>16,78</t>
  </si>
  <si>
    <t xml:space="preserve"> 6.2.17 </t>
  </si>
  <si>
    <t xml:space="preserve"> SDC02088 </t>
  </si>
  <si>
    <t>2,63</t>
  </si>
  <si>
    <t xml:space="preserve"> 00001185 </t>
  </si>
  <si>
    <t xml:space="preserve"> 6.2.44 </t>
  </si>
  <si>
    <t xml:space="preserve"> SDC02100 </t>
  </si>
  <si>
    <t>LIPR - LIGAÇÕES PREDIAIS ÁGUA/ESGOTO/ENERGIA/TELEFONE</t>
  </si>
  <si>
    <t>18,34</t>
  </si>
  <si>
    <t>0,019</t>
  </si>
  <si>
    <t xml:space="preserve"> 00007108 </t>
  </si>
  <si>
    <t>TE DE REDUCAO, PVC, SOLDAVEL, 90 GRAUS, 50 MM X 20 MM, PARA AGUA FRIA PREDIAL</t>
  </si>
  <si>
    <t>7,00</t>
  </si>
  <si>
    <t xml:space="preserve"> 6.2.46 </t>
  </si>
  <si>
    <t xml:space="preserve"> SDC02197 </t>
  </si>
  <si>
    <t>41,49</t>
  </si>
  <si>
    <t xml:space="preserve"> 88826 </t>
  </si>
  <si>
    <t>BETONEIRA CAPACIDADE NOMINAL DE 400 L, CAPACIDADE DE MISTURA 280 L, MOTOR ELÉTRICO TRIFÁSICO POTÊNCIA DE 2 CV, SEM CARREGADOR - DEPRECIAÇÃO. AF_10/2014</t>
  </si>
  <si>
    <t>0,209</t>
  </si>
  <si>
    <t>0,22</t>
  </si>
  <si>
    <t xml:space="preserve"> 00007132 </t>
  </si>
  <si>
    <t>TE DE REDUCAO, PVC, SOLDAVEL, 90 GRAUS, 75 MM X 50 MM, PARA AGUA FRIA PREDIAL</t>
  </si>
  <si>
    <t>32,65</t>
  </si>
  <si>
    <t>0,053</t>
  </si>
  <si>
    <t xml:space="preserve"> 6.2.48 </t>
  </si>
  <si>
    <t xml:space="preserve"> 6.2.50 </t>
  </si>
  <si>
    <t xml:space="preserve"> SDC02043 </t>
  </si>
  <si>
    <t>0,0124</t>
  </si>
  <si>
    <t xml:space="preserve"> 00003515 </t>
  </si>
  <si>
    <t>JOELHO PVC, SOLDAVEL, COM BUCHA DE LATAO, 90 GRAUS, 20 MM X 1/2", PARA AGUA FRIA PREDIAL</t>
  </si>
  <si>
    <t xml:space="preserve"> 6.3.1 </t>
  </si>
  <si>
    <t xml:space="preserve"> 6.3.3 </t>
  </si>
  <si>
    <t xml:space="preserve"> SDC02021 </t>
  </si>
  <si>
    <t>12.671,25</t>
  </si>
  <si>
    <t>2,26</t>
  </si>
  <si>
    <t>31,46</t>
  </si>
  <si>
    <t>8,52</t>
  </si>
  <si>
    <t xml:space="preserve"> 94965 </t>
  </si>
  <si>
    <t>CONCRETO FCK = 25MPA, TRAÇO 1:2,3:2,7 (CIMENTO/ AREIA MÉDIA/ BRITA 1)  - PREPARO MECÂNICO COM BETONEIRA 400 L. AF_07/2016</t>
  </si>
  <si>
    <t>299,75</t>
  </si>
  <si>
    <t xml:space="preserve"> 74157/004 </t>
  </si>
  <si>
    <t>LANCAMENTO/APLICACAO MANUAL DE CONCRETO EM FUNDACOES</t>
  </si>
  <si>
    <t>91,08</t>
  </si>
  <si>
    <t xml:space="preserve"> 00000202 </t>
  </si>
  <si>
    <t>11.300,00</t>
  </si>
  <si>
    <t xml:space="preserve"> SDC02056 </t>
  </si>
  <si>
    <t>18.273,45</t>
  </si>
  <si>
    <t xml:space="preserve"> 92915 </t>
  </si>
  <si>
    <t>ARMAÇÃO DE ESTRUTURAS DE CONCRETO ARMADO, EXCETO VIGAS, PILARES, LAJES E FUNDAÇÕES PROFUNDAS (DE EDIFÍCIOS DE MÚLTIPLOS PAVIMENTOS, EDIFICAÇÃO TÉRREA OU SOBRADO), UTILIZANDO AÇO CA-60 DE 5,0 MM - MONTAGEM. AF_12/2015</t>
  </si>
  <si>
    <t xml:space="preserve"> 92919 </t>
  </si>
  <si>
    <t>8,45</t>
  </si>
  <si>
    <t xml:space="preserve"> 00000235 </t>
  </si>
  <si>
    <t>16.900,00</t>
  </si>
  <si>
    <t xml:space="preserve"> 6.4.2 </t>
  </si>
  <si>
    <t xml:space="preserve"> 6.4.8 </t>
  </si>
  <si>
    <t xml:space="preserve"> 6.5.2 </t>
  </si>
  <si>
    <t xml:space="preserve"> 6.5.8 </t>
  </si>
  <si>
    <t xml:space="preserve"> 6.6.3 </t>
  </si>
  <si>
    <t xml:space="preserve"> 6.6.5 </t>
  </si>
  <si>
    <t xml:space="preserve"> 6.6.7 </t>
  </si>
  <si>
    <t xml:space="preserve"> SDC02034 </t>
  </si>
  <si>
    <t>754,52</t>
  </si>
  <si>
    <t xml:space="preserve"> 00006150 </t>
  </si>
  <si>
    <t>SIFAO EM METAL CROMADO PARA PIA AMERICANA, 1.1/2 X 2 "</t>
  </si>
  <si>
    <t>105,71</t>
  </si>
  <si>
    <t xml:space="preserve"> 00001750 </t>
  </si>
  <si>
    <t>BANCADA/BANCA/PIA DE ACO INOXIDAVEL (AISI 430) COM 2 CUBAS, COM VALVULAS, ESCORREDOR DUPLO, DE *0,55 X 2,00* M</t>
  </si>
  <si>
    <t>415,59</t>
  </si>
  <si>
    <t xml:space="preserve"> 6.7.2 </t>
  </si>
  <si>
    <t xml:space="preserve"> SDC04021 </t>
  </si>
  <si>
    <t>1.647,69</t>
  </si>
  <si>
    <t xml:space="preserve"> 00000116 </t>
  </si>
  <si>
    <t>CHUVEIRO E LAVA OLHOS DE EMERGÊNCIA EM AÇO GALVANIZADO COM ACIONAMENTO MANUAL DO CHUVEIRO E DO LAVA-OLHOS</t>
  </si>
  <si>
    <t>1.630,00</t>
  </si>
  <si>
    <t xml:space="preserve"> 6.8.1 </t>
  </si>
  <si>
    <t xml:space="preserve"> 6.8.2 </t>
  </si>
  <si>
    <t xml:space="preserve"> SDC02103 </t>
  </si>
  <si>
    <t>2.821,60</t>
  </si>
  <si>
    <t xml:space="preserve"> 00000283 </t>
  </si>
  <si>
    <t>2.400,00</t>
  </si>
  <si>
    <t xml:space="preserve"> 6.8.3 </t>
  </si>
  <si>
    <t xml:space="preserve"> SDC02102 </t>
  </si>
  <si>
    <t>4.321,60</t>
  </si>
  <si>
    <t xml:space="preserve"> 00000282 </t>
  </si>
  <si>
    <t>3.900,00</t>
  </si>
  <si>
    <t xml:space="preserve"> 6.8.4 </t>
  </si>
  <si>
    <t xml:space="preserve"> 6.8.6 </t>
  </si>
  <si>
    <t xml:space="preserve"> 6.9.5 </t>
  </si>
  <si>
    <t xml:space="preserve"> 6.9.7 </t>
  </si>
  <si>
    <t xml:space="preserve"> 6.10.1 </t>
  </si>
  <si>
    <t xml:space="preserve"> 6.10.3 </t>
  </si>
  <si>
    <t xml:space="preserve"> 6.10.4 </t>
  </si>
  <si>
    <t xml:space="preserve"> 6.10.5 </t>
  </si>
  <si>
    <t xml:space="preserve"> 6.10.7 </t>
  </si>
  <si>
    <t xml:space="preserve"> 6.11.5 </t>
  </si>
  <si>
    <t xml:space="preserve"> 6.11.16 </t>
  </si>
  <si>
    <t xml:space="preserve"> 6.11.20 </t>
  </si>
  <si>
    <t xml:space="preserve"> 6.11.21 </t>
  </si>
  <si>
    <t xml:space="preserve"> 6.11.22 </t>
  </si>
  <si>
    <t xml:space="preserve"> 6.12.4 </t>
  </si>
  <si>
    <t xml:space="preserve"> 6.13.1 </t>
  </si>
  <si>
    <t xml:space="preserve"> SDC02011 </t>
  </si>
  <si>
    <t>7.278,12</t>
  </si>
  <si>
    <t>2,82</t>
  </si>
  <si>
    <t xml:space="preserve"> 94107 </t>
  </si>
  <si>
    <t>LASTRO COM PREPARO DE FUNDO, LARGURA MAIOR OU IGUAL A 1,5 M, COM CAMADA DE BRITA, LANÇAMENTO MANUAL, EM LOCAL COM NÍVEL BAIXO DE INTERFERÊNCIA. AF_06/2016</t>
  </si>
  <si>
    <t>150,53</t>
  </si>
  <si>
    <t xml:space="preserve"> 94319 </t>
  </si>
  <si>
    <t>ATERRO MANUAL DE VALAS COM SOLO ARGILO-ARENOSO E COMPACTAÇÃO MECANIZADA. AF_05/2016</t>
  </si>
  <si>
    <t>3,9</t>
  </si>
  <si>
    <t>17,82</t>
  </si>
  <si>
    <t xml:space="preserve"> 5651 </t>
  </si>
  <si>
    <t>FORMA TABUA PARA CONCRETO EM FUNDACAO C/ REAPROVEITAMENTO 5X</t>
  </si>
  <si>
    <t>15,9</t>
  </si>
  <si>
    <t>26,41</t>
  </si>
  <si>
    <t xml:space="preserve"> 73994/001 </t>
  </si>
  <si>
    <t>ARMACAO EM TELA DE ACO SOLDADA NERVURADA Q-138, ACO CA-60, 4,2MM, MALHA 10X10CM</t>
  </si>
  <si>
    <t>26,14</t>
  </si>
  <si>
    <t>7,75</t>
  </si>
  <si>
    <t>81,93</t>
  </si>
  <si>
    <t>21,89</t>
  </si>
  <si>
    <t xml:space="preserve"> 83627 </t>
  </si>
  <si>
    <t>TAMPAO FOFO ARTICULADO, CLASSE B125 CARGA MAX 12,5 T, REDONDO TAMPA 600 MM, REDE PLUVIAL/ESGOTO, P = CHAMINE CX AREIA / POCO VISITA ASSENTADO COM ARG CIM/AREIA 1:4, FORNECIMENTO E ASSENTAMENTO</t>
  </si>
  <si>
    <t>399,09</t>
  </si>
  <si>
    <t xml:space="preserve"> 83732 </t>
  </si>
  <si>
    <t>IMPERMEABILIZACAO DE SUPERFICIE COM ARGAMASSA DE CIMENTO E AREIA, TRACO 1:3, COM ADITIVO IMPERMEABILIZANTE, E=1,5 CM</t>
  </si>
  <si>
    <t>IMPE - IMPERMEABILIZAÇÕES E PROTEÇÕES DIVERSAS</t>
  </si>
  <si>
    <t>28,03</t>
  </si>
  <si>
    <t>31,8</t>
  </si>
  <si>
    <t>6,3</t>
  </si>
  <si>
    <t xml:space="preserve"> 72132 </t>
  </si>
  <si>
    <t>20,94</t>
  </si>
  <si>
    <t>55,61</t>
  </si>
  <si>
    <t xml:space="preserve"> 6.13.2 </t>
  </si>
  <si>
    <t xml:space="preserve"> SDC02064 </t>
  </si>
  <si>
    <t>13.655,35</t>
  </si>
  <si>
    <t>2,24</t>
  </si>
  <si>
    <t>11,78</t>
  </si>
  <si>
    <t>44,75</t>
  </si>
  <si>
    <t xml:space="preserve"> 92410 </t>
  </si>
  <si>
    <t>MONTAGEM E DESMONTAGEM DE FÔRMA DE PILARES RETANGULARES E ESTRUTURAS SIMILARES COM ÁREA MÉDIA DAS SEÇÕES MENOR OU IGUAL A 0,25 M², PÉ-DIREITO SIMPLES, EM MADEIRA SERRADA, 2 UTILIZAÇÕES. AF_12/2015</t>
  </si>
  <si>
    <t>31,48</t>
  </si>
  <si>
    <t>84,78</t>
  </si>
  <si>
    <t>42,47</t>
  </si>
  <si>
    <t>107,6</t>
  </si>
  <si>
    <t>25,38</t>
  </si>
  <si>
    <t>25,74</t>
  </si>
  <si>
    <t>13,64</t>
  </si>
  <si>
    <t>21,7</t>
  </si>
  <si>
    <t xml:space="preserve"> 6.13.3 </t>
  </si>
  <si>
    <t xml:space="preserve"> SDC02040 </t>
  </si>
  <si>
    <t>6.678,38</t>
  </si>
  <si>
    <t xml:space="preserve"> 94110 </t>
  </si>
  <si>
    <t>LASTRO COM PREPARO DE FUNDO, LARGURA MAIOR OU IGUAL A 1,5 M, COM CAMADA DE BRITA, LANÇAMENTO MANUAL, EM LOCAL COM NÍVEL ALTO DE INTERFERÊNCIA. AF_06/2016</t>
  </si>
  <si>
    <t>6,25</t>
  </si>
  <si>
    <t>153,73</t>
  </si>
  <si>
    <t>12,27</t>
  </si>
  <si>
    <t>4,42</t>
  </si>
  <si>
    <t>9,42</t>
  </si>
  <si>
    <t>3,14</t>
  </si>
  <si>
    <t xml:space="preserve"> SDC01036 </t>
  </si>
  <si>
    <t>FORNECIMENTO E ASSENTAMENTO DE TUBO DE CONCRETO  DIÂMETRO DE 2000 MM</t>
  </si>
  <si>
    <t>2,5</t>
  </si>
  <si>
    <t>1.237,73</t>
  </si>
  <si>
    <t xml:space="preserve"> 73873/002 </t>
  </si>
  <si>
    <t>LEITO FILTRANTE - FORN.E ENCHIMENTO C/ BRITA NO. 4</t>
  </si>
  <si>
    <t>INPR - INSTALAÇÕES DE PRODUÇÃO</t>
  </si>
  <si>
    <t>3,77</t>
  </si>
  <si>
    <t>132,74</t>
  </si>
  <si>
    <t>6,24</t>
  </si>
  <si>
    <t xml:space="preserve"> 92268 </t>
  </si>
  <si>
    <t>FABRICAÇÃO DE FÔRMA PARA LAJES, EM CHAPA DE MADEIRA COMPENSADA PLASTIFICADA, E = 18 MM. AF_12/2015</t>
  </si>
  <si>
    <t>38,45</t>
  </si>
  <si>
    <t xml:space="preserve"> 6.13.4 </t>
  </si>
  <si>
    <t xml:space="preserve"> SDC02039 </t>
  </si>
  <si>
    <t>3.917,05</t>
  </si>
  <si>
    <t>32,5</t>
  </si>
  <si>
    <t>24,37</t>
  </si>
  <si>
    <t xml:space="preserve"> 6087 </t>
  </si>
  <si>
    <t>TAMPA EM CONCRETO ARMADO 60X60X5CM P/CX INSPECAO/FOSSA SEPTICA</t>
  </si>
  <si>
    <t>20,83</t>
  </si>
  <si>
    <t xml:space="preserve"> 6.15.7 </t>
  </si>
  <si>
    <t xml:space="preserve"> SDC02050 </t>
  </si>
  <si>
    <t>28,68</t>
  </si>
  <si>
    <t xml:space="preserve"> 00011708 </t>
  </si>
  <si>
    <t>RALO FOFO SEMIESFERICO, 100 MM, PARA LAJES/ CALHAS</t>
  </si>
  <si>
    <t>13,00</t>
  </si>
  <si>
    <t xml:space="preserve"> 7.1.4 </t>
  </si>
  <si>
    <t xml:space="preserve"> SDC03063 </t>
  </si>
  <si>
    <t>12,03</t>
  </si>
  <si>
    <t xml:space="preserve"> 00000086 </t>
  </si>
  <si>
    <t>6,85</t>
  </si>
  <si>
    <t xml:space="preserve"> 7.1.5 </t>
  </si>
  <si>
    <t xml:space="preserve"> SDC03064 </t>
  </si>
  <si>
    <t>15,91</t>
  </si>
  <si>
    <t xml:space="preserve"> 00000089 </t>
  </si>
  <si>
    <t>10,35</t>
  </si>
  <si>
    <t xml:space="preserve"> 7.1.6 </t>
  </si>
  <si>
    <t xml:space="preserve"> SDC03065 </t>
  </si>
  <si>
    <t>21,26</t>
  </si>
  <si>
    <t>0,21</t>
  </si>
  <si>
    <t xml:space="preserve"> 00000090 </t>
  </si>
  <si>
    <t>14,36</t>
  </si>
  <si>
    <t xml:space="preserve"> 7.1.7 </t>
  </si>
  <si>
    <t xml:space="preserve"> 7.1.8 </t>
  </si>
  <si>
    <t xml:space="preserve"> SDC03067 </t>
  </si>
  <si>
    <t>39,00</t>
  </si>
  <si>
    <t xml:space="preserve"> 00000092 </t>
  </si>
  <si>
    <t>27,72</t>
  </si>
  <si>
    <t xml:space="preserve"> 7.1.9 </t>
  </si>
  <si>
    <t xml:space="preserve"> SDC03031 </t>
  </si>
  <si>
    <t>66,09</t>
  </si>
  <si>
    <t xml:space="preserve"> 00000084 </t>
  </si>
  <si>
    <t>50,57</t>
  </si>
  <si>
    <t xml:space="preserve"> 7.1.10 </t>
  </si>
  <si>
    <t xml:space="preserve"> 7.1.12 </t>
  </si>
  <si>
    <t xml:space="preserve"> 7.1.28 </t>
  </si>
  <si>
    <t xml:space="preserve"> SDC03012 </t>
  </si>
  <si>
    <t>1.122,19</t>
  </si>
  <si>
    <t xml:space="preserve"> 462 </t>
  </si>
  <si>
    <t>662,67</t>
  </si>
  <si>
    <t xml:space="preserve"> 463 </t>
  </si>
  <si>
    <t>5,16</t>
  </si>
  <si>
    <t>50,48</t>
  </si>
  <si>
    <t xml:space="preserve"> 7.1.29 </t>
  </si>
  <si>
    <t xml:space="preserve"> 7.1.30 </t>
  </si>
  <si>
    <t xml:space="preserve"> 7.1.39 </t>
  </si>
  <si>
    <t xml:space="preserve"> SDC03139 </t>
  </si>
  <si>
    <t>95,09</t>
  </si>
  <si>
    <t xml:space="preserve"> 00039467 </t>
  </si>
  <si>
    <t>DISPOSITIVO DPS CLASSE II, 1 POLO, TENSAO MAXIMA DE 175 V, CORRENTE MAXIMA DE *45* KA (TIPO AC)</t>
  </si>
  <si>
    <t>85,63</t>
  </si>
  <si>
    <t xml:space="preserve"> 7.1.42 </t>
  </si>
  <si>
    <t xml:space="preserve"> SDC03115 </t>
  </si>
  <si>
    <t>317,48</t>
  </si>
  <si>
    <t xml:space="preserve"> 00002391 </t>
  </si>
  <si>
    <t>DISJUNTOR TERMOMAGNETICO TRIPOLAR 125A</t>
  </si>
  <si>
    <t>304,65</t>
  </si>
  <si>
    <t xml:space="preserve"> 7.1.43 </t>
  </si>
  <si>
    <t xml:space="preserve"> SDC03147 </t>
  </si>
  <si>
    <t>382,53</t>
  </si>
  <si>
    <t xml:space="preserve"> 337 </t>
  </si>
  <si>
    <t>90,70</t>
  </si>
  <si>
    <t xml:space="preserve"> 7.1.50 </t>
  </si>
  <si>
    <t xml:space="preserve"> 7.1.51 </t>
  </si>
  <si>
    <t xml:space="preserve"> 7.1.57 </t>
  </si>
  <si>
    <t xml:space="preserve"> 7.2.1 </t>
  </si>
  <si>
    <t xml:space="preserve"> SDC03018 </t>
  </si>
  <si>
    <t>32.058,12</t>
  </si>
  <si>
    <t>17,0</t>
  </si>
  <si>
    <t>16,0</t>
  </si>
  <si>
    <t xml:space="preserve"> 92271 </t>
  </si>
  <si>
    <t>FABRICAÇÃO DE FÔRMA PARA LAJES, EM MADEIRA SERRADA, E=25 MM. AF_12/2015</t>
  </si>
  <si>
    <t>21,97</t>
  </si>
  <si>
    <t>0,88</t>
  </si>
  <si>
    <t>5,72</t>
  </si>
  <si>
    <t xml:space="preserve"> 72289 </t>
  </si>
  <si>
    <t>322,84</t>
  </si>
  <si>
    <t>4,05</t>
  </si>
  <si>
    <t xml:space="preserve"> 00000196 </t>
  </si>
  <si>
    <t>POSTE DE CONCRETO ARMADO, SEÇÃO DT 10/1000</t>
  </si>
  <si>
    <t>1.632,93</t>
  </si>
  <si>
    <t xml:space="preserve"> 00000430 </t>
  </si>
  <si>
    <t>PARAFUSO M16 EM ACO GALVANIZADO, COMPRIMENTO = 125 MM, DIAMETRO = 16 MM, ROSCA MAQUINA, CABECA QUADRADA</t>
  </si>
  <si>
    <t>3,99</t>
  </si>
  <si>
    <t xml:space="preserve"> 00000177 </t>
  </si>
  <si>
    <t>PARAFUSO, CABEÇA QUADRADA 100X16MM</t>
  </si>
  <si>
    <t>4,81</t>
  </si>
  <si>
    <t xml:space="preserve"> 00007581 </t>
  </si>
  <si>
    <t>SAPATILHA EM ACO GALVANIZADO PARA CABOS COM DIAMETRO NOMINAL ATE 5/8"</t>
  </si>
  <si>
    <t xml:space="preserve"> 00000171 </t>
  </si>
  <si>
    <t>OLHAL PARA PARAFUSO TIPO M16 ( BITOLA 5/8")</t>
  </si>
  <si>
    <t>8,88</t>
  </si>
  <si>
    <t xml:space="preserve"> 00000155 </t>
  </si>
  <si>
    <t>ISOLADOR ANCORAGEM TIPO POLIMÉRICO ISOLAÇÃO 15KV 18MM</t>
  </si>
  <si>
    <t>44,00</t>
  </si>
  <si>
    <t xml:space="preserve"> 00000166 </t>
  </si>
  <si>
    <t>MANILHA SAPATILHA</t>
  </si>
  <si>
    <t>10,30</t>
  </si>
  <si>
    <t xml:space="preserve"> 00000150 </t>
  </si>
  <si>
    <t>GANCHO SUSPENSÃO OLHAL EM AÇO GALVANIZADO ESPESSURA 16MM, ABERTURA 21MM</t>
  </si>
  <si>
    <t>10,18</t>
  </si>
  <si>
    <t xml:space="preserve"> 00000183 </t>
  </si>
  <si>
    <t>PERFIL U PARA REDE COMPACTADA</t>
  </si>
  <si>
    <t>83,96</t>
  </si>
  <si>
    <t xml:space="preserve"> 00000141 </t>
  </si>
  <si>
    <t>FIXADOR DE PERFIL U PARA REDE COMPACTADA</t>
  </si>
  <si>
    <t xml:space="preserve"> 00000178 </t>
  </si>
  <si>
    <t>PARA-RAIO DE DISTRIBUIÇÃO 12KV, POLIMÉRICO, 10 KA</t>
  </si>
  <si>
    <t>185,01</t>
  </si>
  <si>
    <t xml:space="preserve"> 00000121 </t>
  </si>
  <si>
    <t>CRUZETA DE CONCRETO 90X90X2000MM, 250 DAN, RETANGULAR</t>
  </si>
  <si>
    <t>96,49</t>
  </si>
  <si>
    <t xml:space="preserve"> 00000114 </t>
  </si>
  <si>
    <t>CHAVE FUSÍVEL TIPO C 15KV, 10KA</t>
  </si>
  <si>
    <t>249,05</t>
  </si>
  <si>
    <t xml:space="preserve"> 00000135 </t>
  </si>
  <si>
    <t>ELO FUSIVEL 8K</t>
  </si>
  <si>
    <t xml:space="preserve"> 00000167 </t>
  </si>
  <si>
    <t>MÃO FRANCESA PLANA DE 619X32X5MM</t>
  </si>
  <si>
    <t>5,66</t>
  </si>
  <si>
    <t xml:space="preserve"> 00000209 </t>
  </si>
  <si>
    <t>SUPORTE DE TRANSFORMAÇÃO CHAPA 360X76X10MM PARA POSTE DUPLO T</t>
  </si>
  <si>
    <t>34,96</t>
  </si>
  <si>
    <t xml:space="preserve"> 00000066 </t>
  </si>
  <si>
    <t>ARRUELA QUADRADA, EM AÇO GALVANIZADO, D=38MM, ESP.=3MM, ABERTURA 8MM</t>
  </si>
  <si>
    <t xml:space="preserve"> 00000063 </t>
  </si>
  <si>
    <t>ARRUELA ESPAÇADORA</t>
  </si>
  <si>
    <t>18,49</t>
  </si>
  <si>
    <t xml:space="preserve"> 00000200 </t>
  </si>
  <si>
    <t>PROTETOR DE BUCHA DE AT DE TRANSFORMADOR - 15KV</t>
  </si>
  <si>
    <t>11,32</t>
  </si>
  <si>
    <t xml:space="preserve"> 00000104 </t>
  </si>
  <si>
    <t>CAIXA DE MEDIÇÃO INDIRETA +TC + DISJUNTOR (PADRÃO ENERGISA)</t>
  </si>
  <si>
    <t>1.364,68</t>
  </si>
  <si>
    <t xml:space="preserve"> 00002379 </t>
  </si>
  <si>
    <t>DISJUNTOR TERMOMAGNETICO TRIPOLAR 400 A / 600 V, TIPO JXD / ICC - 40 KA</t>
  </si>
  <si>
    <t>1.115,74</t>
  </si>
  <si>
    <t xml:space="preserve"> 00000432 </t>
  </si>
  <si>
    <t>PARAFUSO M16 EM ACO GALVANIZADO, COMPRIMENTO = 250 MM, DIAMETRO = 16 MM, ROSCA MAQUINA, CABECA QUADRADA</t>
  </si>
  <si>
    <t>5,85</t>
  </si>
  <si>
    <t xml:space="preserve"> 00000439 </t>
  </si>
  <si>
    <t>PARAFUSO M16 EM ACO GALVANIZADO, COMPRIMENTO = 300 MM, DIAMETRO = 16 MM, ROSCA MAQUINA, CABECA QUADRADA</t>
  </si>
  <si>
    <t xml:space="preserve"> 00000433 </t>
  </si>
  <si>
    <t>PARAFUSO M16 EM ACO GALVANIZADO, COMPRIMENTO = 350 MM, DIAMETRO = 16 MM, ROSCA MAQUINA, CABECA QUADRADA</t>
  </si>
  <si>
    <t>7,85</t>
  </si>
  <si>
    <t xml:space="preserve"> 00000059 </t>
  </si>
  <si>
    <t>ALÇA PRÉ-FORMADA PARA CABO 6,4MM²</t>
  </si>
  <si>
    <t xml:space="preserve"> 00000152 </t>
  </si>
  <si>
    <t>GRAMPO DE ANCORAGEM PARA CABO COBERTO DE 15KV 35MM</t>
  </si>
  <si>
    <t>40,37</t>
  </si>
  <si>
    <t xml:space="preserve"> 00000863 </t>
  </si>
  <si>
    <t>CABO DE COBRE NU 35 MM2 MEIO-DURO</t>
  </si>
  <si>
    <t>14,63</t>
  </si>
  <si>
    <t xml:space="preserve"> 00000867 </t>
  </si>
  <si>
    <t>CABO DE COBRE NU 50 MM2 MEIO-DURO</t>
  </si>
  <si>
    <t>20,38</t>
  </si>
  <si>
    <t xml:space="preserve"> 00000207 </t>
  </si>
  <si>
    <t>SOLDA EXOTERMICA 90</t>
  </si>
  <si>
    <t>9,22</t>
  </si>
  <si>
    <t xml:space="preserve"> 00003379 </t>
  </si>
  <si>
    <t>HASTE DE ATERRAMENTO EM ACO COM 3,00 M DE COMPRIMENTO E DN = 5/8", REVESTIDA COM BAIXA CAMADA DE COBRE, SEM CONECTOR</t>
  </si>
  <si>
    <t>27,03</t>
  </si>
  <si>
    <t xml:space="preserve"> 00000120 </t>
  </si>
  <si>
    <t>CONECTOR TIPO II VD X (10/25MM)</t>
  </si>
  <si>
    <t xml:space="preserve"> 00000100 </t>
  </si>
  <si>
    <t>CABO XLPE 16MM, 15KV RIGIDO</t>
  </si>
  <si>
    <t>10,90</t>
  </si>
  <si>
    <t xml:space="preserve"> 00000119 </t>
  </si>
  <si>
    <t>CONECTOR DERIVAÇÃO CUNHA TIPO ESTRIBO NORMAL (626222-1 - AMP - VERMELHO)</t>
  </si>
  <si>
    <t>12,23</t>
  </si>
  <si>
    <t xml:space="preserve"> 00000153 </t>
  </si>
  <si>
    <t>GRAMPO LINHA VIVA GLV-95 ALUMINIO</t>
  </si>
  <si>
    <t>12,20</t>
  </si>
  <si>
    <t xml:space="preserve"> 00000110 </t>
  </si>
  <si>
    <t>CAPA PROTETORA PARA CONECTOR CUNHA - APLICAÇÃO EM CONECTORES PARA CABOS CA DE 35 A 185 MM²</t>
  </si>
  <si>
    <t>37,00</t>
  </si>
  <si>
    <t xml:space="preserve"> 00000111 </t>
  </si>
  <si>
    <t>CARTUCHO PARA CONECTOR CUNHA (VERMELHO)</t>
  </si>
  <si>
    <t>5,56</t>
  </si>
  <si>
    <t xml:space="preserve"> 00002687 </t>
  </si>
  <si>
    <t>ELETRODUTO PVC FLEXIVEL CORRUGADO, COR AMARELA, DE 16 MM</t>
  </si>
  <si>
    <t>0,80</t>
  </si>
  <si>
    <t xml:space="preserve"> 00002673 </t>
  </si>
  <si>
    <t>ELETRODUTO DE PVC RIGIDO ROSCAVEL DE 1/2 ", SEM LUVA</t>
  </si>
  <si>
    <t>1,59</t>
  </si>
  <si>
    <t xml:space="preserve"> 00000129 </t>
  </si>
  <si>
    <t>ELETRODUTO DE AÇO COM COSTURA GALVANIZADO A FOGO, DIAM. 4"</t>
  </si>
  <si>
    <t>184,37</t>
  </si>
  <si>
    <t xml:space="preserve"> 00039216 </t>
  </si>
  <si>
    <t>ARRUELA EM ALUMINIO, COM ROSCA, DE 4", PARA ELETRODUTO</t>
  </si>
  <si>
    <t>4,79</t>
  </si>
  <si>
    <t xml:space="preserve"> 00039182 </t>
  </si>
  <si>
    <t>BUCHA EM ALUMINIO, COM ROSCA, DE 4", PARA ELETRODUTO</t>
  </si>
  <si>
    <t>5,92</t>
  </si>
  <si>
    <t xml:space="preserve"> 00001577 </t>
  </si>
  <si>
    <t>TERMINAL A COMPRESSAO EM COBRE ESTANHADO PARA CABO 35 MM2, 1 FURO E 1 COMPRESSAO, PARA PARAFUSO DE FIXACAO M8</t>
  </si>
  <si>
    <t xml:space="preserve"> 00000082 </t>
  </si>
  <si>
    <t>CABEÇOTE DE AÇO GALVANIZADO DE 4" (100MM)</t>
  </si>
  <si>
    <t>22,06</t>
  </si>
  <si>
    <t xml:space="preserve"> 00001793 </t>
  </si>
  <si>
    <t>CURVA 90 GRAUS DE FERRO GALVANIZADO, COM ROSCA BSP FEMEA, DE 4"</t>
  </si>
  <si>
    <t>385,77</t>
  </si>
  <si>
    <t xml:space="preserve"> 00020111 </t>
  </si>
  <si>
    <t>FITA ISOLANTE ADESIVA ANTICHAMA, USO ATE 750 V, EM ROLO DE 19 MM X 20 M</t>
  </si>
  <si>
    <t>12,00</t>
  </si>
  <si>
    <t xml:space="preserve"> 00001591 </t>
  </si>
  <si>
    <t>TERMINAL METALICO A PRESSAO PARA 1 CABO DE 120 MM2, COM 1 FURO DE FIXACAO</t>
  </si>
  <si>
    <t>12,80</t>
  </si>
  <si>
    <t xml:space="preserve"> 00007614 </t>
  </si>
  <si>
    <t>TRANSFORMADOR TRIFASICO DE DISTRIBUICAO, POTENCIA DE 150 KVA, TENSAO NOMINAL DE 15 KV, TENSAO SECUNDARIA DE 220/127V, EM OLEO ISOLANTE TIPO MINERAL</t>
  </si>
  <si>
    <t>14.299,12</t>
  </si>
  <si>
    <t xml:space="preserve"> 00001578 </t>
  </si>
  <si>
    <t>TERMINAL A COMPRESSAO EM COBRE ESTANHADO PARA CABO 50 MM2, 1 FURO E 1 COMPRESSAO, PARA PARAFUSO DE FIXACAO M8</t>
  </si>
  <si>
    <t>2,69</t>
  </si>
  <si>
    <t xml:space="preserve"> 8.1.1 </t>
  </si>
  <si>
    <t xml:space="preserve"> 8.1.2 </t>
  </si>
  <si>
    <t xml:space="preserve"> 8.1.3 </t>
  </si>
  <si>
    <t xml:space="preserve"> 8.1.5 </t>
  </si>
  <si>
    <t xml:space="preserve"> 8.1.6 </t>
  </si>
  <si>
    <t xml:space="preserve"> 8.1.10 </t>
  </si>
  <si>
    <t xml:space="preserve"> 8.1.11 </t>
  </si>
  <si>
    <t xml:space="preserve"> 8.1.14 </t>
  </si>
  <si>
    <t xml:space="preserve"> 8.1.16 </t>
  </si>
  <si>
    <t xml:space="preserve"> 8.1.19 </t>
  </si>
  <si>
    <t xml:space="preserve"> 8.1.22 </t>
  </si>
  <si>
    <t xml:space="preserve"> 8.1.23 </t>
  </si>
  <si>
    <t xml:space="preserve"> 9.1.3 </t>
  </si>
  <si>
    <t xml:space="preserve"> 9.2.1 </t>
  </si>
  <si>
    <t xml:space="preserve"> 9.2.2 </t>
  </si>
  <si>
    <t xml:space="preserve"> 9.3.1 </t>
  </si>
  <si>
    <t xml:space="preserve"> 9.3.2 </t>
  </si>
  <si>
    <t xml:space="preserve"> 9.3.3 </t>
  </si>
  <si>
    <t xml:space="preserve"> 9.3.4 </t>
  </si>
  <si>
    <t xml:space="preserve"> 9.3.7 </t>
  </si>
  <si>
    <t xml:space="preserve"> SDC03069 </t>
  </si>
  <si>
    <t xml:space="preserve"> 9.3.8 </t>
  </si>
  <si>
    <t xml:space="preserve"> SDC03070 </t>
  </si>
  <si>
    <t>4,00</t>
  </si>
  <si>
    <t xml:space="preserve"> 00000267 </t>
  </si>
  <si>
    <t>1,52</t>
  </si>
  <si>
    <t xml:space="preserve"> 9.3.9 </t>
  </si>
  <si>
    <t xml:space="preserve"> 9.3.10 </t>
  </si>
  <si>
    <t xml:space="preserve"> 9.3.11 </t>
  </si>
  <si>
    <t xml:space="preserve"> SDC03005 </t>
  </si>
  <si>
    <t>4,52</t>
  </si>
  <si>
    <t xml:space="preserve"> 00039128 </t>
  </si>
  <si>
    <t>0,92</t>
  </si>
  <si>
    <t xml:space="preserve"> 9.3.12 </t>
  </si>
  <si>
    <t xml:space="preserve"> 9.3.14 </t>
  </si>
  <si>
    <t xml:space="preserve"> 9.3.15 </t>
  </si>
  <si>
    <t xml:space="preserve"> 9.3.16 </t>
  </si>
  <si>
    <t xml:space="preserve"> SDC03010 </t>
  </si>
  <si>
    <t>3,53</t>
  </si>
  <si>
    <t xml:space="preserve"> 00038094 </t>
  </si>
  <si>
    <t>1,61</t>
  </si>
  <si>
    <t xml:space="preserve"> 9.3.18 </t>
  </si>
  <si>
    <t xml:space="preserve"> SDC03123 </t>
  </si>
  <si>
    <t xml:space="preserve"> 00000269 </t>
  </si>
  <si>
    <t xml:space="preserve"> 9.3.19 </t>
  </si>
  <si>
    <t xml:space="preserve"> 9.4.4 </t>
  </si>
  <si>
    <t xml:space="preserve">  SDC07029 </t>
  </si>
  <si>
    <t>658,86</t>
  </si>
  <si>
    <t xml:space="preserve"> 00037530 </t>
  </si>
  <si>
    <t>MANGUEIRA DE INCENDIO, TIPO 2, DE 1 1/2", COMPRIMENTO = 30 M, TECIDO EM FIO DE POLIESTER E TUBO INTERNO EM BORRACHA SINTETICA, COM UNIOES</t>
  </si>
  <si>
    <t>655,30</t>
  </si>
  <si>
    <t xml:space="preserve"> 9.4.5 </t>
  </si>
  <si>
    <t xml:space="preserve"> 9.4.6 </t>
  </si>
  <si>
    <t xml:space="preserve"> 9.4.7 </t>
  </si>
  <si>
    <t xml:space="preserve"> 9.4.9 </t>
  </si>
  <si>
    <t xml:space="preserve"> 9.4.11 </t>
  </si>
  <si>
    <t xml:space="preserve"> 9.4.12 </t>
  </si>
  <si>
    <t xml:space="preserve"> 9.4.14 </t>
  </si>
  <si>
    <t xml:space="preserve"> 9.4.16 </t>
  </si>
  <si>
    <t xml:space="preserve"> 9.4.17 </t>
  </si>
  <si>
    <t xml:space="preserve"> SDC02094 </t>
  </si>
  <si>
    <t>2.656,33</t>
  </si>
  <si>
    <t xml:space="preserve"> 00000242 </t>
  </si>
  <si>
    <t>2.430,82</t>
  </si>
  <si>
    <t xml:space="preserve"> 9.4.18 </t>
  </si>
  <si>
    <t xml:space="preserve"> 9.4.25 </t>
  </si>
  <si>
    <t xml:space="preserve"> 9.4.26 </t>
  </si>
  <si>
    <t xml:space="preserve"> 9.4.27 </t>
  </si>
  <si>
    <t xml:space="preserve"> 9.4.29 </t>
  </si>
  <si>
    <t xml:space="preserve"> 9.4.32 </t>
  </si>
  <si>
    <t xml:space="preserve"> 9.4.36 </t>
  </si>
  <si>
    <t xml:space="preserve"> 9.4.37 </t>
  </si>
  <si>
    <t xml:space="preserve"> 9.4.38 </t>
  </si>
  <si>
    <t xml:space="preserve"> 9.4.39 </t>
  </si>
  <si>
    <t xml:space="preserve"> 9.4.40 </t>
  </si>
  <si>
    <t xml:space="preserve"> 9.5.1 </t>
  </si>
  <si>
    <t xml:space="preserve"> 9.5.2 </t>
  </si>
  <si>
    <t xml:space="preserve"> 88246 </t>
  </si>
  <si>
    <t>ASSENTADOR DE TUBOS COM ENCARGOS COMPLEMENTARES</t>
  </si>
  <si>
    <t>0,35742</t>
  </si>
  <si>
    <t>20,70</t>
  </si>
  <si>
    <t>0,71484</t>
  </si>
  <si>
    <t xml:space="preserve"> 5631 </t>
  </si>
  <si>
    <t>ESCAVADEIRA HIDRÁULICA SOBRE ESTEIRAS, CAÇAMBA 0,80 M3, PESO OPERACIONAL 17 T, POTENCIA BRUTA 111 HP - CHP DIURNO. AF_06/2014</t>
  </si>
  <si>
    <t>0,07548</t>
  </si>
  <si>
    <t>121,95</t>
  </si>
  <si>
    <t xml:space="preserve"> 5632 </t>
  </si>
  <si>
    <t>ESCAVADEIRA HIDRÁULICA SOBRE ESTEIRAS, CAÇAMBA 0,80 M3, PESO OPERACIONAL 17 T, POTENCIA BRUTA 111 HP - CHI DIURNO. AF_06/2014</t>
  </si>
  <si>
    <t>0,15984</t>
  </si>
  <si>
    <t>44,96</t>
  </si>
  <si>
    <t xml:space="preserve"> 00007759 </t>
  </si>
  <si>
    <t>TUBO CONCRETO ARMADO, CLASSE PA-1, PB, DN 2000 MM, PARA AGUAS PLUVIAIS (NBR 8890)</t>
  </si>
  <si>
    <t>1.204,04</t>
  </si>
  <si>
    <t>FOSSA SÉPTICA EM ALVENARIA - TIJOLO COMUM MACIÇO, DIMENSOES 350 X 180 X 150 CM (9,45M3)</t>
  </si>
  <si>
    <t>ORSE 1075</t>
  </si>
  <si>
    <t>ORSE 1090</t>
  </si>
  <si>
    <t>SINAPI 92919</t>
  </si>
  <si>
    <t>SINAPI 92921</t>
  </si>
  <si>
    <t>SINAPI 92915</t>
  </si>
  <si>
    <t>SINAPI 92916</t>
  </si>
  <si>
    <t>SINAPI 92917</t>
  </si>
  <si>
    <t>SINAPI 74141/002</t>
  </si>
  <si>
    <t>SEINFRA C3487</t>
  </si>
  <si>
    <t>ORSE 2307</t>
  </si>
  <si>
    <t>SAOP-MT CP0441</t>
  </si>
  <si>
    <t>ORSE 10355</t>
  </si>
  <si>
    <t>SINAPI 92922</t>
  </si>
  <si>
    <t>SAOP CO1104</t>
  </si>
  <si>
    <t>ORSE 4964</t>
  </si>
  <si>
    <t>SEINFRA C0691</t>
  </si>
  <si>
    <t>FORNECIMENTO E INSTALAÇÃO DE BOMBA TRIFÁSICA 5CV - 220/380</t>
  </si>
  <si>
    <t>FOSSA SÉPTICA EM ALVENARIA - TIJOLO COMUM MACIÇO, DIMENSOES 475 X 240 X 180 CM (20,52M3)</t>
  </si>
  <si>
    <t>SETOP ACE-BAN-015</t>
  </si>
  <si>
    <t>SINAPI 84161</t>
  </si>
  <si>
    <t>ORSE 10041</t>
  </si>
  <si>
    <t>FORNECIMENTO E MONTAGEM DE KIT PLAYGOUND, METALICO, CONTENDO: GIRA-GIRA 7 LUGARES; BALANÇO 4 LUGARES; ESCORREGADOR GRANDE; GANGORRA DUPLA E CASINHA CONJUGADA</t>
  </si>
  <si>
    <t>SINAPI 85010 / SEDOP 91518</t>
  </si>
  <si>
    <t>CABO DE COBRE ISOLADO EM EPR FLEXÍVEL 16MM2 - 0,6KV/1KV/90°</t>
  </si>
  <si>
    <t>ORSE 9204</t>
  </si>
  <si>
    <t>CABO DE COBRE ISOLADO EM EPR FLEXÍVEL 25MM2 - 0,6KV/1KV/90°</t>
  </si>
  <si>
    <t>ORSE 8070</t>
  </si>
  <si>
    <t>CABO DE COBRE ISOLADO EM EPR FLEXÍVEL 35MM2 - 0,6KV/1KV/90°</t>
  </si>
  <si>
    <t>ORSE 7916</t>
  </si>
  <si>
    <t>CABO DE COBRE ISOLADO EM EPR FLEXÍVEL 70MM2 - 0,6KV/1KV/90°</t>
  </si>
  <si>
    <t>SINAPI 74130/010</t>
  </si>
  <si>
    <t>FORNECIMENTO E INSTALAÇÃO DE BIBICLETARIO METALICO, CONFORME PROJERO PADRÃO SEDUC</t>
  </si>
  <si>
    <t xml:space="preserve"> SDC03069</t>
  </si>
  <si>
    <t>SEINFRA C1179</t>
  </si>
  <si>
    <t xml:space="preserve"> SDC03070</t>
  </si>
  <si>
    <t>SEDOP 171409</t>
  </si>
  <si>
    <t xml:space="preserve"> SDC03123</t>
  </si>
  <si>
    <t xml:space="preserve"> SDC03031</t>
  </si>
  <si>
    <t>ORSE 8072</t>
  </si>
  <si>
    <t xml:space="preserve"> SDC04061</t>
  </si>
  <si>
    <t>FORNECIMENTO E PLANTIO DE PIRIQUITÃO</t>
  </si>
  <si>
    <t>ORSE 3322</t>
  </si>
  <si>
    <t xml:space="preserve"> SDC04062</t>
  </si>
  <si>
    <t>SINAPI 85178</t>
  </si>
  <si>
    <t xml:space="preserve"> SDC03018</t>
  </si>
  <si>
    <t xml:space="preserve"> SDC02100</t>
  </si>
  <si>
    <t>ORSE 1181</t>
  </si>
  <si>
    <t xml:space="preserve"> SDC02101</t>
  </si>
  <si>
    <t>SEINFRA C0692</t>
  </si>
  <si>
    <t xml:space="preserve"> SDC02050</t>
  </si>
  <si>
    <t>ORSE 4283</t>
  </si>
  <si>
    <t xml:space="preserve"> SDC01009</t>
  </si>
  <si>
    <t>SINAPI 92924</t>
  </si>
  <si>
    <t xml:space="preserve"> SDC01095</t>
  </si>
  <si>
    <t>SINAPI 94560</t>
  </si>
  <si>
    <t xml:space="preserve"> SDC04067</t>
  </si>
  <si>
    <t>SBC 200061</t>
  </si>
  <si>
    <t xml:space="preserve"> SDC02102</t>
  </si>
  <si>
    <t xml:space="preserve"> SDC02103</t>
  </si>
  <si>
    <t xml:space="preserve"> SDC01101</t>
  </si>
  <si>
    <t>SINAPI 84088</t>
  </si>
  <si>
    <t xml:space="preserve"> SDC03139</t>
  </si>
  <si>
    <t>ORSE 8894</t>
  </si>
  <si>
    <t xml:space="preserve"> SDC04045</t>
  </si>
  <si>
    <t xml:space="preserve">FITA ADESIVA FOTO LUMINESCENTE </t>
  </si>
  <si>
    <t>ORSE 11621</t>
  </si>
  <si>
    <t xml:space="preserve"> SDC01228</t>
  </si>
  <si>
    <t>SUDECAP 65.01.02</t>
  </si>
  <si>
    <t xml:space="preserve"> </t>
  </si>
  <si>
    <t>SINAPI 89630</t>
  </si>
  <si>
    <t xml:space="preserve"> SDC03147</t>
  </si>
  <si>
    <t>SIURB 100868</t>
  </si>
  <si>
    <t xml:space="preserve"> SDC02021</t>
  </si>
  <si>
    <t>SDC05004</t>
  </si>
  <si>
    <t xml:space="preserve"> LIGAÇÃO PROVISÓRIA DE ÁGUA E SANITÁRIO</t>
  </si>
  <si>
    <t>SERVIÇOS TÉCNICOS - PROJETOS</t>
  </si>
  <si>
    <t>Plan. Orçamentária</t>
  </si>
  <si>
    <t>Administração de Obra</t>
  </si>
  <si>
    <t>mês</t>
  </si>
  <si>
    <t>Fornecimento e instalação de placa de obra, padrão Governo de Mato Grosso, tamanho 5,00x2,50m</t>
  </si>
  <si>
    <t>Placa padrão SEDUC</t>
  </si>
  <si>
    <t>Placa de nome dos profissionais</t>
  </si>
  <si>
    <t>2.3</t>
  </si>
  <si>
    <t>Limpeza mecanizada de terreno com remoção de camada vegetal, utilizando motoniveladora</t>
  </si>
  <si>
    <t>Área interna do terreno</t>
  </si>
  <si>
    <t>2.4</t>
  </si>
  <si>
    <t>Locação de obra, execução de gabarito</t>
  </si>
  <si>
    <t>Área construida do bloco educacional = 2073,02m²
Calçadas em volta do bloco educacional  = 276,12m²
Abrigo de  GLP laboratórios = 1,52m²
Áreas pavimentadas (lastro 8cm, 10cm) = 323,69m²
Área da Calçada Externa = 873,76m²
Escada de acesso ao estacionamento = 55,55m²
Área piso em bloco intertravado =  1.306,21m²</t>
  </si>
  <si>
    <t>2.5</t>
  </si>
  <si>
    <t xml:space="preserve">Execução de escritório em canteiro de obra em chapa de madeira compensada, não incluso mobiliário e equipamentos. af_02/2016 </t>
  </si>
  <si>
    <t>Barracão modelo Seduc</t>
  </si>
  <si>
    <t>2.6</t>
  </si>
  <si>
    <t>Execução de almoxarifado em canteiro de obra em chapa de madeira compensada, incluso prateleiras. af_02/2016</t>
  </si>
  <si>
    <t>2.7</t>
  </si>
  <si>
    <t>Execução de refeitório em canteiro de obra em chapa de madeira compensada, não incluso mobiliário e equipamentos. af_02/2016</t>
  </si>
  <si>
    <t>2.8</t>
  </si>
  <si>
    <t>Execução de sanitário e vestiário em canteiro de obra em chapa de madeira compensada, não incluso mobiliário. af_02/2016</t>
  </si>
  <si>
    <t>2.9</t>
  </si>
  <si>
    <t>Tapume em chapa metálica, trapezoidal esp. 0,43mm com estrutura em madeira</t>
  </si>
  <si>
    <t>Perimetro*2,2 altura tapume 
(4 lados do terreno) 430,85 X 2,2m altura tapume</t>
  </si>
  <si>
    <t>2.10</t>
  </si>
  <si>
    <t>Carga e transporte em caçamba bota-fora com capacidade de 6m³. inclusive taxa de destinação final</t>
  </si>
  <si>
    <t>Estimado 4 caçamba para retirada de camada vegetal e lixos existentes no terreno</t>
  </si>
  <si>
    <t>Ligação de Água</t>
  </si>
  <si>
    <t>2.12</t>
  </si>
  <si>
    <t>Ligação Elétrica</t>
  </si>
  <si>
    <t>Telha Isotérmica</t>
  </si>
  <si>
    <t>Área de cobertura secretária = 34,50m²</t>
  </si>
  <si>
    <t>Telha de aço</t>
  </si>
  <si>
    <t>Área de cobertura dos blocos de sala de aula bloco 01 - 24,74x46,20= 1. 142,98 bloco 02- 24,74*52,20=1.291,42m²</t>
  </si>
  <si>
    <t xml:space="preserve">Calha </t>
  </si>
  <si>
    <t xml:space="preserve">Comprimento de calha da área de cobertura da secretária </t>
  </si>
  <si>
    <t>Pingadeira metálica</t>
  </si>
  <si>
    <t xml:space="preserve">Comprimento do rufo da área de cobertura da secretária </t>
  </si>
  <si>
    <t>P1 - Porta de Alumínio - 1 Folha - 0,80 x 1,70</t>
  </si>
  <si>
    <t>Banheiros 8un</t>
  </si>
  <si>
    <t xml:space="preserve">P2 - Porta Metálica - 1 Folha - 0,90 x 2,10 </t>
  </si>
  <si>
    <t>Sala dos Professores+ Sala de Reunião+ Coordenadoria+ Diretoria 4un</t>
  </si>
  <si>
    <t>P3 - Porta Metálica - 1 Folha c/ visor - 0,90 x 2,10</t>
  </si>
  <si>
    <t>Biblioteca + Sala de Aula + Lab. De Física + Lab. De Química + Sala de Informática + Sala Articulada 21un</t>
  </si>
  <si>
    <t>P4 - Porta Metálica c/ barra PCD - 1 Folha - 0,90 x 2,10</t>
  </si>
  <si>
    <t>Banheiros PCD</t>
  </si>
  <si>
    <t>P5 - Porta de Vidro - 2 Folhas - 1,0 x 2,10</t>
  </si>
  <si>
    <t>Secretaria</t>
  </si>
  <si>
    <t>P6 - Porta de Vidro - 1 Folha - 1,0 x 2,10</t>
  </si>
  <si>
    <t>Biblioteca</t>
  </si>
  <si>
    <t>P7 - Porta metálica 1 Folha - 0,80 x 2,10</t>
  </si>
  <si>
    <t>Arquivo, copa,  lav. Profs, banheiro de alunos</t>
  </si>
  <si>
    <t>J1 - Janela MAXIM-AR - 3 folhas - 3,0 x 0,60 x 1,95</t>
  </si>
  <si>
    <t>Bilioteca + Sala de Aula + Lab. De Física + Lab. De Química + Sala de Reunião + Cordenadoria + Sala de Informática + Sala Articulada</t>
  </si>
  <si>
    <t>J2 - Janela MAXIM-AR - 3 folhas - 3,0 x 0,80 x 1,95</t>
  </si>
  <si>
    <t>Banheiros</t>
  </si>
  <si>
    <t>J3 - MAXM- AR 1 folha ( 1,20x2,40x0,15)</t>
  </si>
  <si>
    <t>Sala de Aula + Lab. De Física + Lab. De Química + Sala dos Professores + Sala de Reunião + Diretoria + Sala de Informática + Sala Articulada</t>
  </si>
  <si>
    <t>J5 - MAXIM-AR 1 folhas 0,4x0,4 peitoril 1,95</t>
  </si>
  <si>
    <t>J8 - MAXIM-AR 3 folhas 2,0x0,8 peitoril 1,95</t>
  </si>
  <si>
    <t>Sala dos Professores</t>
  </si>
  <si>
    <t xml:space="preserve">Pele de vidro secretaria  </t>
  </si>
  <si>
    <t>Pele de vidro da secretaria com a P5</t>
  </si>
  <si>
    <t>Pele de vidro Biblioteca</t>
  </si>
  <si>
    <t xml:space="preserve">Pele de vidro na biblioteca com a P6 </t>
  </si>
  <si>
    <t>Pintura em esquadrias metálicas</t>
  </si>
  <si>
    <t xml:space="preserve">Área de pintura = área da porta*qtd de portas*3
P2 = (1,89*4)
P3 = (1,89*21)
P4 = (1,89*2)                                                                     
P7=(1,68*6)                                                                                      </t>
  </si>
  <si>
    <t>VERGA E CONTRA VERGA</t>
  </si>
  <si>
    <t xml:space="preserve">VERGA BLOCOS EDUCACIONAIS  PORTAS </t>
  </si>
  <si>
    <t>5,20+27,30+2,60+7,20</t>
  </si>
  <si>
    <t>VERGA JANELAS ( VÃOS &gt;  1,5 m)</t>
  </si>
  <si>
    <t>93,60+7,20+73,60+2,60</t>
  </si>
  <si>
    <t>VERGA JANELAS ( VÃOS &lt; 1,5 m)</t>
  </si>
  <si>
    <t>0,40+0,40=  0,80*4= 3,20</t>
  </si>
  <si>
    <t>CONTRA VERGA   JANELAS ( VÃOS &gt;  1,5 m)</t>
  </si>
  <si>
    <t>90,30+109,20+2,90</t>
  </si>
  <si>
    <t xml:space="preserve">M </t>
  </si>
  <si>
    <t>CONTRA VERGA  JANELAS ( VÃOS &lt; 1,5 m)</t>
  </si>
  <si>
    <t>Alvenaria de Vedação</t>
  </si>
  <si>
    <t>Fechamento em alvenaria do bloco educacional + parte do muro com o hidrante = 2887,88+8,80</t>
  </si>
  <si>
    <t>Área de todo o bloco educacional, descontando o oitão na parte interna aonde não pode ser visto pois a laje vai tampar= 4.574,37 + muro do hidrante (4,00x2,20= 8,80*2=17,60m²)</t>
  </si>
  <si>
    <t>Reboco e emboço</t>
  </si>
  <si>
    <t xml:space="preserve">Área bloco educacional + muro do hidrante </t>
  </si>
  <si>
    <t>7.3</t>
  </si>
  <si>
    <t xml:space="preserve">Chapisco da laje </t>
  </si>
  <si>
    <t xml:space="preserve">laje do bloco educacional </t>
  </si>
  <si>
    <t>7.4</t>
  </si>
  <si>
    <t xml:space="preserve">Reboco da laje </t>
  </si>
  <si>
    <t>7.5</t>
  </si>
  <si>
    <t xml:space="preserve">azulejo tipo gres 20x20 </t>
  </si>
  <si>
    <t>azulejo 20x20cm, cor branco - banheiros e copa</t>
  </si>
  <si>
    <t>7.6</t>
  </si>
  <si>
    <t>Pastilha 5x5 cor branco e faixa azul (salas)</t>
  </si>
  <si>
    <t>Pastilha 5x5 cor branco h=1,40m e 10cm de pastilha cor azul- totalizando h=1,50m- usado dentro das salas de aula, laboratorios, biblioteca, diretoria, coordenadoria, sala de reuniao, secretaria.</t>
  </si>
  <si>
    <t>7.7</t>
  </si>
  <si>
    <t>Pastilha 5x5 cor azul ( circulação)</t>
  </si>
  <si>
    <t>pastilha na circulação das salas de aula, nas cores azul claro, azul médio e azul escuro, na altura de 1,10m</t>
  </si>
  <si>
    <t>7.8</t>
  </si>
  <si>
    <t xml:space="preserve">Pastilha 5x5 na fachada </t>
  </si>
  <si>
    <t>pastilha azul claro, médio e escuro na fachada e no patío coberto e secretaria</t>
  </si>
  <si>
    <t>7.9</t>
  </si>
  <si>
    <t xml:space="preserve">impermeabilizante </t>
  </si>
  <si>
    <t>Impermeabilizante áreas molhadas- banheiros e copa h= 1,10m  e área externa com patio coberto 1,10m. + muro de divisa do terreno (100,51*1,10)= 110,56  e muro com hidrante(1,20*1,10=1,32*2 = 2,64)</t>
  </si>
  <si>
    <t xml:space="preserve">Porcelanato </t>
  </si>
  <si>
    <t xml:space="preserve">Área dos blocos de sala(salas, banheiros, adm, corredores) = 1976,65 </t>
  </si>
  <si>
    <t>8.2</t>
  </si>
  <si>
    <t>Soleira</t>
  </si>
  <si>
    <t xml:space="preserve">Soleira em todas as portas do bloco educaional - ver projeto </t>
  </si>
  <si>
    <t>8.3</t>
  </si>
  <si>
    <t>*Calçada em volta de todo bloco escolar + ciurlações externas:
-Calçada Bloco Educacional = 276,12m²
-Área rampa de Acesso do Bloco Ensino a Quadra = 121,07m²
-Área acesso principal = 52,94m²
-Área de acesso Estacionamento a Quadra (curva) = 36,27m²
-Área de acesso Estacionamento a Quadra = 43,06m²
Área Escada de acesso ao estaciomaneto/quadra + hall = 55,55m²</t>
  </si>
  <si>
    <t>8.4</t>
  </si>
  <si>
    <t>Calçada (Lastro de concreto 10cm)</t>
  </si>
  <si>
    <t>Carga e descarga (acesso abrigos) = 43,13m²
Área da Calçada Externa = 873,76m²</t>
  </si>
  <si>
    <t>8.5</t>
  </si>
  <si>
    <t>meio fio reto</t>
  </si>
  <si>
    <t>Meio fio calçadas interna:
Patio descoberto: 257,26ml
Estacionamento e Bicicletario: 80,91ml
Canteiros : 56,00ml
Meio fio calçadas externa = 401,78ml</t>
  </si>
  <si>
    <t>8.6</t>
  </si>
  <si>
    <t>meio fio curvo</t>
  </si>
  <si>
    <t>Meio fio calçadas externa = 7,85 x 4 lados
Canterios: 15,64ml</t>
  </si>
  <si>
    <t>8.7</t>
  </si>
  <si>
    <t>Piso paver (Bloco Intertravado)</t>
  </si>
  <si>
    <t xml:space="preserve">Estacionamento = 543,31m²
Patio descoberto = 666,22m²
Bicicletario com área de lazer = 96,68m² </t>
  </si>
  <si>
    <t>Aplicação de massa latex em paredes internas</t>
  </si>
  <si>
    <t xml:space="preserve">paredes internas do bloco educacional, pintura acima dos barrados das salas e da circulação  </t>
  </si>
  <si>
    <t>Tinta latéx pva em paredes internas</t>
  </si>
  <si>
    <t>Aplicação de massa latex no forro (laje)</t>
  </si>
  <si>
    <t>Tinta latéx pva em paredes internas no forro ( laje)</t>
  </si>
  <si>
    <t>Aplicação de massa acrilica  em paredes externas</t>
  </si>
  <si>
    <t xml:space="preserve">área externa do bloco educacional e as paredes do patio coberto , descontando as faixas de pastilha da fachada e o barrado do patio coberto + muro do hidrante </t>
  </si>
  <si>
    <t>9.6</t>
  </si>
  <si>
    <t>Fundo selador acrílico em paredes externas</t>
  </si>
  <si>
    <t>área externa do bloco educacional e as paredes do patio coberto , descontando as faixas de pastilha da fachada e o barrado do patio coberto.</t>
  </si>
  <si>
    <t>9.7</t>
  </si>
  <si>
    <t>Pintura acrilica em paredes externas</t>
  </si>
  <si>
    <t>área externa do bloco educacional e as paredes do patio coberto , descontando as faixas de pastilha da fachada e o barrado do patio coberto= 987,14 + muro divisa do terreno lado interno da escola = 221,12+ muro do hidrante = 5,28</t>
  </si>
  <si>
    <t>9.8</t>
  </si>
  <si>
    <t>Liquibrilho- transparente</t>
  </si>
  <si>
    <t>Área externa do bloco educacional h= 1,10m.</t>
  </si>
  <si>
    <t>FORROS / LAJES E DIVISÓRIAS</t>
  </si>
  <si>
    <t>Estrutura para forro pvc</t>
  </si>
  <si>
    <t>Área dos banheiros e copa</t>
  </si>
  <si>
    <t xml:space="preserve">Divisorias de granito itaunas nos banheiros </t>
  </si>
  <si>
    <t>BWC Fem + BWC Masc = 16,69m² + 13,56m² = 30,25m²</t>
  </si>
  <si>
    <t>Grama tipo esmeralda</t>
  </si>
  <si>
    <t>Área de grama/arborea = 1.870,82m² +  Área de grama/talude = 1.210,07m²</t>
  </si>
  <si>
    <t>Periquito</t>
  </si>
  <si>
    <t>canteiros  plantio a cada 0,20cm</t>
  </si>
  <si>
    <t>11.3</t>
  </si>
  <si>
    <t>Palmeira Areca</t>
  </si>
  <si>
    <t>canteiros</t>
  </si>
  <si>
    <t>11.4</t>
  </si>
  <si>
    <t>canteiros  e frente da escola</t>
  </si>
  <si>
    <t>11.5</t>
  </si>
  <si>
    <t xml:space="preserve">canteiro </t>
  </si>
  <si>
    <t>11.6</t>
  </si>
  <si>
    <t>Manacá da Serra</t>
  </si>
  <si>
    <t>11.7</t>
  </si>
  <si>
    <t>Primavera</t>
  </si>
  <si>
    <t>playground</t>
  </si>
  <si>
    <t>Mastro para bandeira</t>
  </si>
  <si>
    <t>1 mastro pra bandeira</t>
  </si>
  <si>
    <t>Quadro de Vidro Temperado</t>
  </si>
  <si>
    <t>16 salas de aula + 1 laboratório de fisica + 1 laboratório de quimica + 1 sala de informatica + sala de reunião+ sala professores e biblioteca = 22</t>
  </si>
  <si>
    <t>Espelho Cristal</t>
  </si>
  <si>
    <t>10 espelhos banheiro + 2 PCD + 2 professores: 0,45*0,55*14</t>
  </si>
  <si>
    <t>12.4</t>
  </si>
  <si>
    <t xml:space="preserve">Bancada de Granito </t>
  </si>
  <si>
    <t>bancada laboratorios, bancada banheiros , copa- 10,61+17,57+2,68+2,68+1,50= 35,04m²</t>
  </si>
  <si>
    <t>12.5</t>
  </si>
  <si>
    <t xml:space="preserve">Totem em concreto </t>
  </si>
  <si>
    <t>12.6</t>
  </si>
  <si>
    <t>Bicicletario</t>
  </si>
  <si>
    <t>2 unidade</t>
  </si>
  <si>
    <t>12.7</t>
  </si>
  <si>
    <t>Barra de apoio 40cm</t>
  </si>
  <si>
    <t>2 em cada banheiro 2 PCD + portas  = 6</t>
  </si>
  <si>
    <t>12.8</t>
  </si>
  <si>
    <t>Barra de apoio 80cm</t>
  </si>
  <si>
    <t>3 em cada banheiro 2 PCD = 6</t>
  </si>
  <si>
    <t>12.9</t>
  </si>
  <si>
    <t>Cantoneira aluminio</t>
  </si>
  <si>
    <t>Cantoneira em alumio em pilares: 2 pilares x 4 cantos x 4,10 de pé direito/ 1 pilar x 4 cantos x 5,85 de pé direito</t>
  </si>
  <si>
    <t>12.10</t>
  </si>
  <si>
    <t>kit playground</t>
  </si>
  <si>
    <t xml:space="preserve">1 kit </t>
  </si>
  <si>
    <t>12.11</t>
  </si>
  <si>
    <t>Gradil com mureta de h = 40cm com pintura</t>
  </si>
  <si>
    <t xml:space="preserve">Mureta Branco Gelo/ Gradil Pantone 2758C
Perimetro do gradil  (Muro de Fechamento externo todo terreno)
4,71ml x 2 lados + 55ml x 2 lados + 4,53ml x 2 lados + 85,15 + 61,35 + 46,75 + 47,95 + 43,30 </t>
  </si>
  <si>
    <t>12.12</t>
  </si>
  <si>
    <t>Portão do gradil (P9)</t>
  </si>
  <si>
    <t>Portão 2 folhas = (4,50 x 2,55) x 3 Unidades</t>
  </si>
  <si>
    <t>12.13</t>
  </si>
  <si>
    <t>Placa em ACM para logo do governo</t>
  </si>
  <si>
    <t>01 Fachadas</t>
  </si>
  <si>
    <t>12.14</t>
  </si>
  <si>
    <t>Letra Caixa (Nome da Escola)</t>
  </si>
  <si>
    <t>Letra caixa h=0,70cm
Escrita em 1 fachadas: E E SÃO SIMÃO</t>
  </si>
  <si>
    <t>12.15</t>
  </si>
  <si>
    <t>Placa de inauguração</t>
  </si>
  <si>
    <t>1 placa de inauguração</t>
  </si>
  <si>
    <t>12.16</t>
  </si>
  <si>
    <t>Cobertura em Policarobonato</t>
  </si>
  <si>
    <t>Cobertura Playground</t>
  </si>
  <si>
    <t>12.17</t>
  </si>
  <si>
    <t>Brises Metalicos</t>
  </si>
  <si>
    <t>Brise = 3,06m x 3,60h = 11,016 x 7 unid 
Portas = 2,10 x 0,70 = 1,47 x 7 unid</t>
  </si>
  <si>
    <t>12.18</t>
  </si>
  <si>
    <t>01 um</t>
  </si>
  <si>
    <t>12.19</t>
  </si>
  <si>
    <t>Peitoril de Janelas</t>
  </si>
  <si>
    <t>Em granito</t>
  </si>
  <si>
    <t>12.20</t>
  </si>
  <si>
    <t>Banco de Madeira com estrutura metálica</t>
  </si>
  <si>
    <t>Banco Pátio Descoberto</t>
  </si>
  <si>
    <t>13.1</t>
  </si>
  <si>
    <t xml:space="preserve">Placa tatil aluminio </t>
  </si>
  <si>
    <t xml:space="preserve">Placa em braille para corrimao </t>
  </si>
  <si>
    <t>13.2</t>
  </si>
  <si>
    <t xml:space="preserve">Placa tatil em acrilico com letras alto relevo em braille, fundo branco e letra preto </t>
  </si>
  <si>
    <t>Placa, dimensões 30 x 10 cm</t>
  </si>
  <si>
    <t>13.3</t>
  </si>
  <si>
    <t xml:space="preserve">Placa em acrilico com letra vinil, fundo branco e letra preto </t>
  </si>
  <si>
    <t>13.4</t>
  </si>
  <si>
    <t>Fita Adesiva Fotoluminescente 0,03x0,20</t>
  </si>
  <si>
    <t>Escada 4/degrau</t>
  </si>
  <si>
    <t>13.5</t>
  </si>
  <si>
    <t>Guarda- corpo tubular em aço galvanizado com guia de Balizamento  e barras tubulares verticais.</t>
  </si>
  <si>
    <t>Guarda- corpo Rampas e Escada</t>
  </si>
  <si>
    <t>13.6</t>
  </si>
  <si>
    <t>Corrimão tubular duplo em aço galvanizado fixado ao guarda corpo</t>
  </si>
  <si>
    <t>13.7</t>
  </si>
  <si>
    <t>Gradil em barra chata</t>
  </si>
  <si>
    <t>Gradil de proteção para desnivel (acima do muro de arrimo) h=1,20ml</t>
  </si>
  <si>
    <t>13.8</t>
  </si>
  <si>
    <t>Pintura esmalte do gradil (Patone 2758C)</t>
  </si>
  <si>
    <t>Pintura de Gradil de proteção para desnivel (acima do muro de arrimo)</t>
  </si>
  <si>
    <t>13.9</t>
  </si>
  <si>
    <t xml:space="preserve">Anel de textura </t>
  </si>
  <si>
    <t xml:space="preserve">Anel de textura para o corrimao </t>
  </si>
  <si>
    <t>13.10</t>
  </si>
  <si>
    <t>Mapa tatil com Pedestal</t>
  </si>
  <si>
    <t>Mapa</t>
  </si>
  <si>
    <t>13.11</t>
  </si>
  <si>
    <t>Bloco de concreto (alerta) - externo 25cm x 25cm</t>
  </si>
  <si>
    <t>Pátio e Calçada externa = 371 un</t>
  </si>
  <si>
    <t>13.12</t>
  </si>
  <si>
    <t>Bloco de concreto (direcional) - externo 25cm x 25cm</t>
  </si>
  <si>
    <t>Pátio e Calçada externa = 1.672 um</t>
  </si>
  <si>
    <t>13.13</t>
  </si>
  <si>
    <t>Bloco de borracha (alerta e direcional) - interno 25cm x 25cm</t>
  </si>
  <si>
    <t>Escola:
Direcional: 499 um
Alerta: 185 un</t>
  </si>
  <si>
    <t>13.14</t>
  </si>
  <si>
    <t xml:space="preserve">Pintura acessivel - vaga estacionamento </t>
  </si>
  <si>
    <t>Pintura de acessibilidade no estacionamento PCD, idoso</t>
  </si>
  <si>
    <t>13.15</t>
  </si>
  <si>
    <t>Pintura acessivel - quadra poliesportiva</t>
  </si>
  <si>
    <t>Pintura de acessibilidade no estacionamento PCD</t>
  </si>
  <si>
    <t>14.1</t>
  </si>
  <si>
    <t>02 unidades de abrigo de Gás P45: 
01un para atender a cozinha 
01un para atender os laboratórios</t>
  </si>
  <si>
    <t>14.2</t>
  </si>
  <si>
    <t>Escavação Manual de Valas</t>
  </si>
  <si>
    <t>Distância entre as casas de gás e as conexões da cozinha e do laboratório de química e física. Cozinha = 21,51m  + Laboratório = 46,27ml x a profundidade da escavação (0,80m) x a largura da escavação (0,40m)</t>
  </si>
  <si>
    <t>14.3</t>
  </si>
  <si>
    <t>Reaterro de Vala Compactado</t>
  </si>
  <si>
    <t>14.4</t>
  </si>
  <si>
    <t>93,12m (área total do eltroduto de 3/4'')*0,06</t>
  </si>
  <si>
    <t>14.5</t>
  </si>
  <si>
    <t>Eletroduto de Aço carbono 3/4 (sem costura)</t>
  </si>
  <si>
    <t>Distância entre as casas de gás e as conexões da cozinha e do laboratório de química e física. 
Eletroduto de Aço Carbono 3/4" 
Cozinha: 21,51ml
Laboratórios: 46,27ml</t>
  </si>
  <si>
    <t>14.6</t>
  </si>
  <si>
    <t>Eletroduto de Aço carbono 1/2</t>
  </si>
  <si>
    <t>Tubo de Aço Carbono 1/2" 
Laboratórios: 30,00ml</t>
  </si>
  <si>
    <t>14.7</t>
  </si>
  <si>
    <t>Joelho de 90° 3/4</t>
  </si>
  <si>
    <t>Cozinha: 03un
Laboratório: 10un</t>
  </si>
  <si>
    <t>14.8</t>
  </si>
  <si>
    <t>"T" 3/4</t>
  </si>
  <si>
    <t>Laboratório: 3un</t>
  </si>
  <si>
    <t>14.9</t>
  </si>
  <si>
    <t>Joelho de 90° 1/2</t>
  </si>
  <si>
    <t>Laboratórios</t>
  </si>
  <si>
    <t>14.10</t>
  </si>
  <si>
    <t>"T" 1/2</t>
  </si>
  <si>
    <t>14.11</t>
  </si>
  <si>
    <t>14.12</t>
  </si>
  <si>
    <t xml:space="preserve">Válvula de Bloqueio </t>
  </si>
  <si>
    <t>14.13</t>
  </si>
  <si>
    <t>14.14</t>
  </si>
  <si>
    <t>Válvula de Bloqueio Manual -  Registro de Corte</t>
  </si>
  <si>
    <t>14.15</t>
  </si>
  <si>
    <t xml:space="preserve">Colocar a cada 6 m ( cozinha: 21,51/6)+ (laboratorios:46,27/6) </t>
  </si>
  <si>
    <t>15.1</t>
  </si>
  <si>
    <t xml:space="preserve">Igual area de esquadrias + pele de vidro </t>
  </si>
  <si>
    <t>15.2</t>
  </si>
  <si>
    <t>15.3</t>
  </si>
  <si>
    <t>Área construida do bloco educacional = 2073,02
Calçadas do entorno  = 263,17
Abrigo de  GLP 1,52m² x 2 unid = 3,04m²
Abrigo de Lixo = 1,89m²
Áreas pavimentadas = 2.028,85m²
Área da Calçada Externa = 872,51m²</t>
  </si>
  <si>
    <t>Locação de Obra</t>
  </si>
  <si>
    <t>Área Do Refeitório = 378,45
Abrigo de  GLP cozinha = 1,52m²
Abrigo de Lixo = 1,89m²
Calçada entorno= 98,40m²</t>
  </si>
  <si>
    <t>Alvenaria 1/2vez vão &gt;6m²</t>
  </si>
  <si>
    <r>
      <t>Alvenarias:                                                                          
*</t>
    </r>
    <r>
      <rPr>
        <sz val="10"/>
        <color rgb="FFFF0000"/>
        <rFont val="Calibri Light"/>
        <family val="2"/>
      </rPr>
      <t xml:space="preserve">H = 3,80ml   </t>
    </r>
    <r>
      <rPr>
        <sz val="10"/>
        <rFont val="Calibri Light"/>
        <family val="2"/>
      </rPr>
      <t xml:space="preserve">                                                                (2,65+4,05+6,05+5,45+2,65+4,15+1,40+3,25+2,5+4,75+9,10+9,10) =55,10ml x 3,80 = 209,38m² (-) 27,76m² = </t>
    </r>
    <r>
      <rPr>
        <b/>
        <sz val="10"/>
        <rFont val="Calibri Light"/>
        <family val="2"/>
      </rPr>
      <t xml:space="preserve">181,62m²  </t>
    </r>
    <r>
      <rPr>
        <sz val="10"/>
        <rFont val="Calibri Light"/>
        <family val="2"/>
      </rPr>
      <t xml:space="preserve">  
*Parede Fundo da Cozinha:</t>
    </r>
    <r>
      <rPr>
        <b/>
        <sz val="10"/>
        <rFont val="Calibri Light"/>
        <family val="2"/>
      </rPr>
      <t xml:space="preserve"> 59,86m²</t>
    </r>
    <r>
      <rPr>
        <sz val="10"/>
        <rFont val="Calibri Light"/>
        <family val="2"/>
      </rPr>
      <t xml:space="preserve">
*Parede Frente da Cozinha: </t>
    </r>
    <r>
      <rPr>
        <b/>
        <sz val="10"/>
        <rFont val="Calibri Light"/>
        <family val="2"/>
      </rPr>
      <t>61,17m²</t>
    </r>
    <r>
      <rPr>
        <sz val="10"/>
        <rFont val="Calibri Light"/>
        <family val="2"/>
      </rPr>
      <t xml:space="preserve">
*</t>
    </r>
    <r>
      <rPr>
        <sz val="10"/>
        <color rgb="FFFF0000"/>
        <rFont val="Calibri Light"/>
        <family val="2"/>
      </rPr>
      <t xml:space="preserve">H = 1,50m     </t>
    </r>
    <r>
      <rPr>
        <sz val="10"/>
        <rFont val="Calibri Light"/>
        <family val="2"/>
      </rPr>
      <t xml:space="preserve">                                                                                               Mureta Cozinha                                                                                            2,50 x 1,50 =</t>
    </r>
    <r>
      <rPr>
        <b/>
        <sz val="10"/>
        <rFont val="Calibri Light"/>
        <family val="2"/>
      </rPr>
      <t xml:space="preserve"> 3,75m²
</t>
    </r>
    <r>
      <rPr>
        <sz val="10"/>
        <rFont val="Calibri Light"/>
        <family val="2"/>
      </rPr>
      <t xml:space="preserve">*Fechamento Lateral área aberta (Refeitório) com desconto de vigas e Cobogó: 21,40m²  x 2 lados = </t>
    </r>
    <r>
      <rPr>
        <b/>
        <sz val="10"/>
        <rFont val="Calibri Light"/>
        <family val="2"/>
      </rPr>
      <t xml:space="preserve">53,40m² X 2 
</t>
    </r>
    <r>
      <rPr>
        <sz val="10"/>
        <rFont val="Calibri Light"/>
        <family val="2"/>
      </rPr>
      <t xml:space="preserve">*Fechamento parede frente Refeitorio = </t>
    </r>
    <r>
      <rPr>
        <b/>
        <sz val="10"/>
        <rFont val="Calibri Light"/>
        <family val="2"/>
      </rPr>
      <t xml:space="preserve">23,55m² </t>
    </r>
  </si>
  <si>
    <t>VERGA E CONTRA-VERGA</t>
  </si>
  <si>
    <r>
      <t xml:space="preserve">Verga vão até 1,50m </t>
    </r>
    <r>
      <rPr>
        <b/>
        <sz val="10"/>
        <rFont val="Calibri Light"/>
        <family val="2"/>
      </rPr>
      <t>Portas</t>
    </r>
  </si>
  <si>
    <r>
      <t xml:space="preserve">Portas Novas: 
</t>
    </r>
    <r>
      <rPr>
        <sz val="10"/>
        <rFont val="Calibri Light"/>
        <family val="2"/>
      </rPr>
      <t>P2 08un (0,90cm)
P7 02un (0,80cm)</t>
    </r>
  </si>
  <si>
    <r>
      <t xml:space="preserve">Verga vão até 1,50m </t>
    </r>
    <r>
      <rPr>
        <b/>
        <sz val="10"/>
        <rFont val="Calibri Light"/>
        <family val="2"/>
      </rPr>
      <t>Janelas</t>
    </r>
  </si>
  <si>
    <t>J6 05un (0,80cm)</t>
  </si>
  <si>
    <r>
      <t xml:space="preserve">Verga vão acima de 1,50m </t>
    </r>
    <r>
      <rPr>
        <b/>
        <sz val="10"/>
        <rFont val="Calibri Light"/>
        <family val="2"/>
      </rPr>
      <t>Janelas</t>
    </r>
  </si>
  <si>
    <r>
      <t xml:space="preserve">J4 06un (2,00)
J7 02un (2,00)                              </t>
    </r>
    <r>
      <rPr>
        <sz val="10"/>
        <rFont val="Arial"/>
        <family val="2"/>
      </rPr>
      <t/>
    </r>
  </si>
  <si>
    <t>Contra Verga vão até  1,50m</t>
  </si>
  <si>
    <t>Telha Ondulada</t>
  </si>
  <si>
    <t>Área da Cobertura 
comprimento x arco = 28,10x16,50</t>
  </si>
  <si>
    <t>08 portas: (0,90*2,10)</t>
  </si>
  <si>
    <t>Porta 80 (P7)</t>
  </si>
  <si>
    <t>02 portas: (0,80*2,10)</t>
  </si>
  <si>
    <t>Janela Maxim-ar 
2,00 x 0,80 (J4)</t>
  </si>
  <si>
    <t>06 janelas : 2,00X0,80</t>
  </si>
  <si>
    <t>Janela Maxim-ar 
0,80 x 0,40 (J6)</t>
  </si>
  <si>
    <t>05 janelas : 0,80X0,40</t>
  </si>
  <si>
    <t>Guilhotina 
2,00 x 1,50 (J7)</t>
  </si>
  <si>
    <t>02 janelas : 2,00x1,50</t>
  </si>
  <si>
    <t>Chapisco de Paredes</t>
  </si>
  <si>
    <r>
      <t>*Área da Alvenaria x 2</t>
    </r>
    <r>
      <rPr>
        <b/>
        <sz val="10"/>
        <rFont val="Calibri Light"/>
        <family val="2"/>
      </rPr>
      <t xml:space="preserve"> </t>
    </r>
    <r>
      <rPr>
        <sz val="10"/>
        <rFont val="Calibri Light"/>
        <family val="2"/>
      </rPr>
      <t>lados (-) Chapisco interno Cozinha acima da laje 21,90m² x 2 lados</t>
    </r>
    <r>
      <rPr>
        <b/>
        <sz val="10"/>
        <rFont val="Calibri Light"/>
        <family val="2"/>
      </rPr>
      <t xml:space="preserve">
</t>
    </r>
    <r>
      <rPr>
        <sz val="10"/>
        <rFont val="Calibri Light"/>
        <family val="2"/>
      </rPr>
      <t>*Pilares do Refeitorio (15x30): 11un x 3,90ml pé direito</t>
    </r>
  </si>
  <si>
    <t>Chapisco de Teto (Laje)</t>
  </si>
  <si>
    <t xml:space="preserve">Triagem: 14,87m²  
WC funcionarios fem: 3,75m² 
WC funcionario masc: 3,75m² 
Cozinha: 48,90m² 
Circulação: 26,06m²       
DML: 3,87m²
Desp. Alimentos: 9,54m²
Desp. Utensilios: 9,54m²                                                                                                                                                                                                                                </t>
  </si>
  <si>
    <t>Reboco de Parede</t>
  </si>
  <si>
    <t>Reboco de Teto (Laje)</t>
  </si>
  <si>
    <t>Emboço para revestimento Cerâmico</t>
  </si>
  <si>
    <r>
      <rPr>
        <sz val="10"/>
        <color rgb="FFFF0000"/>
        <rFont val="Calibri Light"/>
        <family val="2"/>
      </rPr>
      <t xml:space="preserve">H=3,80ml (Pé direito)  </t>
    </r>
    <r>
      <rPr>
        <sz val="10"/>
        <rFont val="Calibri Light"/>
        <family val="2"/>
      </rPr>
      <t xml:space="preserve">                                                                                               DML - 8,70ml (-) 1P2, 1J6                                                                                         Triagem - 16,90ml (-) 2P2, 2J4                                                                     
Desp. Alimentos - 12,90ml (-) 1P2, 1J4                                         
Desp. Utensil. - 12,90ml (-) 1P2, 1J4                                                          
Wc Fem/Masc. - 8,00ml x 2un  (-) 2J6, 2P7                                          
Cozinha - 30,38ml (-) 6P2, 2J6, 2J4, 2J7    
Circulação/A. Serviço - 16,40ml (-) 4P2, 1J4, 2J6, 2P7                                                                                                                                                         </t>
    </r>
    <r>
      <rPr>
        <sz val="10"/>
        <color rgb="FFFF0000"/>
        <rFont val="Calibri Light"/>
        <family val="2"/>
      </rPr>
      <t xml:space="preserve">H=1,50ml   </t>
    </r>
    <r>
      <rPr>
        <sz val="10"/>
        <rFont val="Calibri Light"/>
        <family val="2"/>
      </rPr>
      <t xml:space="preserve">                                                                                                   
Mureta div. Cozinha - 5,15ml   
11un de Pilar (0,30x0,15) =  14,85m²
</t>
    </r>
    <r>
      <rPr>
        <sz val="10"/>
        <color rgb="FFFF0000"/>
        <rFont val="Calibri Light"/>
        <family val="2"/>
      </rPr>
      <t xml:space="preserve">H=1,20ml     </t>
    </r>
    <r>
      <rPr>
        <sz val="10"/>
        <rFont val="Calibri Light"/>
        <family val="2"/>
      </rPr>
      <t xml:space="preserve">                                                                                        
Parede externa da cozinha de frente para o Refeitório - 14,50ml (-) 1P2, 2J7</t>
    </r>
  </si>
  <si>
    <t>Azulejo 20x20cm</t>
  </si>
  <si>
    <r>
      <rPr>
        <sz val="10"/>
        <color rgb="FFFF0000"/>
        <rFont val="Calibri Light"/>
        <family val="2"/>
      </rPr>
      <t xml:space="preserve">H=3,80ml (Pé direito)  </t>
    </r>
    <r>
      <rPr>
        <sz val="10"/>
        <rFont val="Calibri Light"/>
        <family val="2"/>
      </rPr>
      <t xml:space="preserve">                                                                      
DML - 8,70ml (-) 1P2, 1J6                                                                            
 Triagem - 16,90ml (-) 2P2, 2J4                                                                     
Desp. Alimentos - 12,90ml (-) 1P2, 1J4                                                        
Desp. Utensil. - 12,90ml (-) 1P2, 1J4                                                            
Wc Fem/Masc. - 8,00ml x 2un  (-) 2J6, 2P7                                                
Cozinha - 30,38ml (-) 6P2, 2J6, 2J4, 2J7    
Circulação/A. Serviço - 16,40ml (-) 4P2, 1J4, 2J6, 2P7                                                                                                                                                         </t>
    </r>
    <r>
      <rPr>
        <sz val="10"/>
        <color rgb="FFFF0000"/>
        <rFont val="Calibri Light"/>
        <family val="2"/>
      </rPr>
      <t xml:space="preserve">H=1,50ml   </t>
    </r>
    <r>
      <rPr>
        <sz val="10"/>
        <rFont val="Calibri Light"/>
        <family val="2"/>
      </rPr>
      <t xml:space="preserve">                                                                                                    
 Mureta div. Cozinha - 5,15m
11un de Pilar (0,30x0,15) =  14,85m²
H=1,20ml                                                                                                      
Parede externa da cozinha de frente para o Refeitório - 14,50ml (-) 1P2, 2J7</t>
    </r>
  </si>
  <si>
    <t>Revestimento 5x5cm h= 1,10cm (Parade frente ao Refeitório 14,50ml) + 11 Pilares de 15x30 x 1,50altura
*COR PANTONE 308U - 4,37m² + Pilares 14,85m²
*COR PANTONE 2758C - 4,51m²
*COR  PANTONE 3125U - 3,59m²</t>
  </si>
  <si>
    <t>Impermeabilização</t>
  </si>
  <si>
    <r>
      <rPr>
        <sz val="10"/>
        <color rgb="FFFF0000"/>
        <rFont val="Calibri Light"/>
        <family val="2"/>
      </rPr>
      <t>Paredes  H=1,10cm
Interno:</t>
    </r>
    <r>
      <rPr>
        <sz val="10"/>
        <rFont val="Calibri Light"/>
        <family val="2"/>
      </rPr>
      <t xml:space="preserve">
Triagem de Alimentos:  16,90ml x  1,10 (-) 1,98m² 
Área do Tanque:/ 3,35mlx1,10ml
WC funcionarios fem: 8,00ml x 1,10 (-) 0,88m²
WC funcionario masc: /  8,00ml x 1,10 (-) 0,88m²
Cozinha: 30,80ml x 1,10 (-) 5,94m²
</t>
    </r>
    <r>
      <rPr>
        <sz val="10"/>
        <color rgb="FFFF0000"/>
        <rFont val="Calibri Light"/>
        <family val="2"/>
      </rPr>
      <t xml:space="preserve">Externo:
Áreas acima externa:
</t>
    </r>
    <r>
      <rPr>
        <sz val="10"/>
        <rFont val="Calibri Light"/>
        <family val="2"/>
      </rPr>
      <t>55,30ml x 1,10ml (-) 4P2,2P7 = 60,83m² (-) 5,72m² = 55,11m²</t>
    </r>
  </si>
  <si>
    <t>Triagem: 14,87m²  
WC funcionarios fem: 3,75m² 
WC funcionario masc: 3,75m² 
Cozinha: 48,90m² 
Circulação: 24,80m²       
DML: 3,87m²
Desp. Alimentos: 9,54m²
Desp. Utensilios: 9,54m²                                                                               Refeitório: 239,16m²</t>
  </si>
  <si>
    <t>08un P2 (0,90)
02un P7 (0,80
Contorno refeitório : 3,84+3,95+3,95+4,01+4,51+4,48+4,51+4,01+3,95+3,95+3,84: 45,00ml
Circulação fundos: 2,55 + 5,45</t>
  </si>
  <si>
    <t>Fundo selador em parede externa</t>
  </si>
  <si>
    <r>
      <t>*Laterais Cozinha: 9,10ml x 3,90ml altura = 35,49m² x 2 lados = 70,98m² (-) 4J4, 2J6 = 63,94m²
*Parede Fundo da Cozinha: 59,86m²
*Parede Frente da Cozinha (acima das pastilhas): 55,90m²</t>
    </r>
    <r>
      <rPr>
        <sz val="10"/>
        <color rgb="FFFF0000"/>
        <rFont val="Calibri Light"/>
        <family val="2"/>
      </rPr>
      <t xml:space="preserve">
</t>
    </r>
    <r>
      <rPr>
        <sz val="10"/>
        <rFont val="Calibri Light"/>
        <family val="2"/>
      </rPr>
      <t>*Fechamento Lateral área aberta (Refeitório) com desconto de vigas e Cobogó: 21,40m²  x 2 lados = 53,40m² X 2 
*Fechamento parede frente Refeitorio = 35,85m² 
*11 Pilares de 15x30 x 2,40altura</t>
    </r>
  </si>
  <si>
    <r>
      <rPr>
        <sz val="10"/>
        <color rgb="FFFF0000"/>
        <rFont val="Calibri Light"/>
        <family val="2"/>
      </rPr>
      <t>Paredes</t>
    </r>
    <r>
      <rPr>
        <sz val="10"/>
        <rFont val="Calibri Light"/>
        <family val="2"/>
      </rPr>
      <t xml:space="preserve">
*Laterais Cozinha: 9,10ml x 3,90ml altura = 35,49m² x 2 lados = 70,98m² (-) 4J4, 2J6 = 63,94m²
*Parede Fundo da Cozinha: 59,86m²
*Parede Frente da Cozinha (acima das pastilhas): 55,90m²</t>
    </r>
    <r>
      <rPr>
        <sz val="10"/>
        <color rgb="FFFF0000"/>
        <rFont val="Calibri Light"/>
        <family val="2"/>
      </rPr>
      <t xml:space="preserve">
</t>
    </r>
    <r>
      <rPr>
        <sz val="10"/>
        <rFont val="Calibri Light"/>
        <family val="2"/>
      </rPr>
      <t>*Fechamento Lateral área aberta (Refeitório) com desconto de vigas e Cobogó: 21,40m²  x 2 lados = 53,40m² X 2 
*Fechamento parede frente Refeitorio = 35,85m² 
*11 Pilares de 15x30 x 2,40altura</t>
    </r>
  </si>
  <si>
    <t>Emassamento Laje</t>
  </si>
  <si>
    <r>
      <rPr>
        <sz val="10"/>
        <color rgb="FFFF0000"/>
        <rFont val="Calibri Light"/>
        <family val="2"/>
      </rPr>
      <t>Laje</t>
    </r>
    <r>
      <rPr>
        <sz val="10"/>
        <rFont val="Calibri Light"/>
        <family val="2"/>
      </rPr>
      <t xml:space="preserve">
Triagem: 14,87m²  
WC funcionarios fem: 3,75m² 
WC funcionario masc: 3,75m² 
Cozinha: 48,90m² 
Circulação: 26,06m²       
DML: 3,87m²
Desp. Alimentos: 9,54m²
Desp. Utensilios: 9,54m²                                                                              </t>
    </r>
  </si>
  <si>
    <t xml:space="preserve">Pintura Latéx Acrílica Branco Gelo </t>
  </si>
  <si>
    <r>
      <rPr>
        <sz val="10"/>
        <color rgb="FFFF0000"/>
        <rFont val="Calibri Light"/>
        <family val="2"/>
      </rPr>
      <t>Pintura Látex acrílica com desconto de áreas de revestimento 5x5cm</t>
    </r>
    <r>
      <rPr>
        <sz val="10"/>
        <rFont val="Calibri Light"/>
        <family val="2"/>
      </rPr>
      <t xml:space="preserve">
*Laterais Cozinha: 9,10ml x3,90ml altura = 35,49m² x 2 lados = 70,98m² (-) 4J4, 2J6 = 63,94m²
*Parede Fundo da Cozinha: 59,86m²
*Parede Frente da Cozinha (acima das pastilhas): 55,90m²</t>
    </r>
    <r>
      <rPr>
        <sz val="10"/>
        <color rgb="FFFF0000"/>
        <rFont val="Calibri Light"/>
        <family val="2"/>
      </rPr>
      <t xml:space="preserve">
</t>
    </r>
    <r>
      <rPr>
        <sz val="10"/>
        <rFont val="Calibri Light"/>
        <family val="2"/>
      </rPr>
      <t>*Fechamento Lateral área aberta (Refeitório) com desconto de vigas e Cobogó: 21,40m²  x 2 lados = 53,40m² X 2 
*Fechamento parede frente Refeitorio = 35,85m² 
*11 Pilares de 15x30 x 2,40altura</t>
    </r>
  </si>
  <si>
    <t>Pintura para de Teto (Laje)
Cor: Branco Gelo</t>
  </si>
  <si>
    <t xml:space="preserve">Triagem: 14,87m²  
WC funcionarios fem: 3,75m² 
WC funcionario masc: 3,75m² 
Cozinha: 48,90m² 
Circulação: 26,06m²       
DML: 3,87m²
Desp. Alimentos: 9,54m²
Desp. Utensilios: 9,54m²  </t>
  </si>
  <si>
    <t>Liquibrilho H=1,20cm</t>
  </si>
  <si>
    <t>Liquibrilho para barrado externo H=1,20cm
*Laterais Cozinha: 9,10cm x 1,20ml
*Parede Fundo da Cozinha: 6,25cm x 1,20ml</t>
  </si>
  <si>
    <t>Pintura em esmalte sintetico para esquadrias
P2 0,90 x2,10 (08un) x 2 lados
P7 0,80 x2,10 (02un) x 2 lados</t>
  </si>
  <si>
    <t>Cobogó</t>
  </si>
  <si>
    <t>Cobogó na parede de fechamento lateral Refeitório: 22,00m²
Cobogó na parede de fechamento frontal Refeitório: 9,45m²</t>
  </si>
  <si>
    <t>1 unidade Localizado na Parede de Frente ao Refeitório</t>
  </si>
  <si>
    <t>2 unidades localizados na cozinha</t>
  </si>
  <si>
    <t>1 unidade de espelho em cada banheiros de funcionários 45x55</t>
  </si>
  <si>
    <t>Cantoneira em alumio em pilares: 11 pilares x 4 cantos x 3,90ml altura do pilar</t>
  </si>
  <si>
    <t>Mão Francesa</t>
  </si>
  <si>
    <t>Mão francesa para as bancadas dos Depósitos:
Desp. Alimentos: 5 um x 3 prateleiras 
Desp. Utensilios: 3un x 3 prateleiras</t>
  </si>
  <si>
    <t>Calçada =  98,40m²</t>
  </si>
  <si>
    <t xml:space="preserve">Igual area de esquadrias </t>
  </si>
  <si>
    <t>Área construída</t>
  </si>
  <si>
    <t>SERVIÇOS TÉCNICOS - PROJETOS - VESTIARIOS E QUADRA POLIESPORTIVA</t>
  </si>
  <si>
    <t>Quadra Poliesportiva = 1.566,94m²
Calçada = 207,84</t>
  </si>
  <si>
    <t>IMPERMEABILIZAÇÃO</t>
  </si>
  <si>
    <r>
      <rPr>
        <sz val="10"/>
        <color rgb="FFFF0000"/>
        <rFont val="Calibri Light"/>
        <family val="2"/>
      </rPr>
      <t>Paredes  H=1,10cm
Interno:</t>
    </r>
    <r>
      <rPr>
        <sz val="10"/>
        <rFont val="Calibri Light"/>
        <family val="2"/>
      </rPr>
      <t xml:space="preserve">
Vestiário Fem: 17,00ml x 1,10ml altura (-) 1P2 = 17,71m²
Vestiário Fem PCD: 9,60 x 1,10ml (-) 1P4 = 9,57m²
Vestiário Masc: 17,00ml x 1,10ml altura (-) 1P2 = 17,71m²
Vestiário Masc PCD: 9,60 x 1,10ml (-) 1P4 = 9,57m²
</t>
    </r>
    <r>
      <rPr>
        <sz val="10"/>
        <color rgb="FFFF0000"/>
        <rFont val="Calibri Light"/>
        <family val="2"/>
      </rPr>
      <t>Externo:</t>
    </r>
    <r>
      <rPr>
        <sz val="10"/>
        <rFont val="Calibri Light"/>
        <family val="2"/>
      </rPr>
      <t xml:space="preserve">
Perede contorno áreas acima e quadra = 217,84 x 1,10 = 239,62m²</t>
    </r>
  </si>
  <si>
    <r>
      <t>Alvenaria 1/2vez
&gt; ou =</t>
    </r>
    <r>
      <rPr>
        <b/>
        <sz val="10"/>
        <rFont val="Calibri Light"/>
        <family val="2"/>
      </rPr>
      <t xml:space="preserve"> 6m² sem vão</t>
    </r>
  </si>
  <si>
    <r>
      <rPr>
        <sz val="10"/>
        <color rgb="FFFF0000"/>
        <rFont val="Calibri Light"/>
        <family val="2"/>
      </rPr>
      <t>Vestiário:</t>
    </r>
    <r>
      <rPr>
        <sz val="10"/>
        <rFont val="Calibri Light"/>
        <family val="2"/>
      </rPr>
      <t xml:space="preserve">
37,65ml x 3,35 altura (-)2P2, 2P4, 2J2, 2J9
</t>
    </r>
    <r>
      <rPr>
        <sz val="10"/>
        <color rgb="FFFF0000"/>
        <rFont val="Calibri Light"/>
        <family val="2"/>
      </rPr>
      <t xml:space="preserve">Quadra: H=13,30ml
</t>
    </r>
    <r>
      <rPr>
        <sz val="10"/>
        <rFont val="Calibri Light"/>
        <family val="2"/>
      </rPr>
      <t>*Parede em frente ao vestiário - 30,00ml x 13,30ml (-)abertura de acesso 3,00x2,50, Cobogó 5unx5,55compx2,20alturax2lados= 399m²(-) 7,5m²+60,50m²
*Parede Lateral Esq. (arquibancada) - 50,25ml x 13,30ml (-) Cobogó 105,60m²
* Fachada - 399,00m² (-) Cobogó 60,50m²
*Parede Lateral Direita (Acesso) - 503,00m² (-) Cobogó 105,60m²</t>
    </r>
  </si>
  <si>
    <t>*Parede em frente ao vestiario: 60,50m²
*Fachada Frontal: 60,50m²
*Parede lateral (arquibancada): 105,60m²
*Parede lateral acesso: 6,00ml x 2,20ml x 08un</t>
  </si>
  <si>
    <r>
      <t xml:space="preserve">Portas Novas: 
</t>
    </r>
    <r>
      <rPr>
        <sz val="10"/>
        <rFont val="Calibri Light"/>
        <family val="2"/>
      </rPr>
      <t>P2 - Vestiário F/M (0,90) 02un
P4 - Vestiário PCD F/M (0,90) 02un</t>
    </r>
  </si>
  <si>
    <r>
      <rPr>
        <b/>
        <sz val="10"/>
        <rFont val="Calibri Light"/>
        <family val="2"/>
      </rPr>
      <t>Acima das Janelas</t>
    </r>
    <r>
      <rPr>
        <sz val="10"/>
        <rFont val="Calibri Light"/>
        <family val="2"/>
      </rPr>
      <t xml:space="preserve">
J9 - Vestiário PCD F/M (0,80)   02un              </t>
    </r>
    <r>
      <rPr>
        <sz val="10"/>
        <rFont val="Arial"/>
        <family val="2"/>
      </rPr>
      <t/>
    </r>
  </si>
  <si>
    <r>
      <rPr>
        <b/>
        <sz val="10"/>
        <rFont val="Calibri Light"/>
        <family val="2"/>
      </rPr>
      <t>Acima das Janelas</t>
    </r>
    <r>
      <rPr>
        <sz val="10"/>
        <rFont val="Calibri Light"/>
        <family val="2"/>
      </rPr>
      <t xml:space="preserve">
J2 - Vestiário F/M (3,00)   02un              </t>
    </r>
    <r>
      <rPr>
        <sz val="10"/>
        <rFont val="Arial"/>
        <family val="2"/>
      </rPr>
      <t/>
    </r>
  </si>
  <si>
    <t>Contra Verga vão até de 1,50m</t>
  </si>
  <si>
    <r>
      <t xml:space="preserve">Abaixo das Janelas
</t>
    </r>
    <r>
      <rPr>
        <sz val="10"/>
        <rFont val="Calibri Light"/>
        <family val="2"/>
      </rPr>
      <t xml:space="preserve">J9 - Vestiário PCD F/M (0,80)   02un              </t>
    </r>
  </si>
  <si>
    <t>Contra Verga acima de 1,50m</t>
  </si>
  <si>
    <r>
      <t xml:space="preserve">Abaixo das Janelas
</t>
    </r>
    <r>
      <rPr>
        <sz val="10"/>
        <rFont val="Calibri Light"/>
        <family val="2"/>
      </rPr>
      <t xml:space="preserve">J2 - Vestiário F/M (3,00)   02un    </t>
    </r>
  </si>
  <si>
    <t>Área de Cobertura do Vestiário: 73,93m² 
Área de Cobertura da Quadra: 1.461,18m²</t>
  </si>
  <si>
    <t>Rufo Metálico</t>
  </si>
  <si>
    <t>Cobertura da Quadra: 49,70ml x 2 lados
Cobertura do Vestiário: 16,25ml</t>
  </si>
  <si>
    <t>ContraRufo Metálico</t>
  </si>
  <si>
    <t>Calha Metálica</t>
  </si>
  <si>
    <t>Cobertura da Quadra: 49,70ml x 2 lados</t>
  </si>
  <si>
    <t>Porta 0,90 sem visor (P2) (P4)</t>
  </si>
  <si>
    <t xml:space="preserve">Vestiário F/M - (P2) - 0,90cm 
Vestiário PCD F/M - (P4) - 0,90cm </t>
  </si>
  <si>
    <t>Porta Alumínio WC (P1)</t>
  </si>
  <si>
    <t>Vestiários F/M
TOTAL: 10 UNIDADES = 0,60x1,70= 1,02m² x 10 = 10,20m²</t>
  </si>
  <si>
    <t>Maxim-ar 3,00x0,80 (J2)</t>
  </si>
  <si>
    <t>Vestiário F/M - 02un
Vestiário PCD F/M  - 02un</t>
  </si>
  <si>
    <t>Maxim-ar 0,80x0,40 (J9)</t>
  </si>
  <si>
    <r>
      <rPr>
        <b/>
        <sz val="10"/>
        <color rgb="FFFF0000"/>
        <rFont val="Calibri Light"/>
        <family val="2"/>
      </rPr>
      <t>Fechamento:</t>
    </r>
    <r>
      <rPr>
        <b/>
        <sz val="10"/>
        <rFont val="Calibri Light"/>
        <family val="2"/>
      </rPr>
      <t xml:space="preserve">
*</t>
    </r>
    <r>
      <rPr>
        <sz val="10"/>
        <rFont val="Calibri Light"/>
        <family val="2"/>
      </rPr>
      <t>Área de alvenaria do Vestiário + Quadra x 2 lados 
*Arquibancada: 279,09m²
*Pilares de acesso 9unx 1,70x3,20</t>
    </r>
  </si>
  <si>
    <r>
      <rPr>
        <b/>
        <sz val="10"/>
        <color rgb="FFFF0000"/>
        <rFont val="Calibri Light"/>
        <family val="2"/>
      </rPr>
      <t>Fechamento:</t>
    </r>
    <r>
      <rPr>
        <b/>
        <sz val="10"/>
        <rFont val="Calibri Light"/>
        <family val="2"/>
      </rPr>
      <t xml:space="preserve">
*</t>
    </r>
    <r>
      <rPr>
        <sz val="10"/>
        <rFont val="Calibri Light"/>
        <family val="2"/>
      </rPr>
      <t>Área de alvenaria do Vestiário + Quadra x 2 lados 
*Arquibancada: 279,09m²
*Pilares de acesso 9unx 1,70x1,70
(-) Emboço</t>
    </r>
  </si>
  <si>
    <r>
      <rPr>
        <b/>
        <sz val="10"/>
        <rFont val="Calibri Light"/>
        <family val="2"/>
      </rPr>
      <t>Áreas de azulejo: altura de 3,00m:</t>
    </r>
    <r>
      <rPr>
        <sz val="10"/>
        <rFont val="Calibri Light"/>
        <family val="2"/>
      </rPr>
      <t xml:space="preserve"> 
Vestiario F/M = 17,00ml x 2un = 34,00ml x 3,00ml altura (-) 1J2,1P2
Vestiarios F/M PCD = 9,60ml x 2un = 19,20 x 3,00ml altura (-) J19, 1P4
Circulação = 12,70ml x 3,00ml altura (-) 2P2, 2P4, 2J9, abertura de acesso 3,00x2,50
*Pilares de acesso 9unx 1,70x1,50</t>
    </r>
  </si>
  <si>
    <t>Azulejo  20x20cm</t>
  </si>
  <si>
    <t>Revestimento cerâmico 5x5 H= 1,10ml</t>
  </si>
  <si>
    <t>Detalhe Fachada Frontal e Lateral Direita - Faixa de 1,40ml de largura x 13,30ml    (-) Cobogó
*COR PANTONE 308U - 15,58m²
*COR PANTONE 2758C - 17,78m²
*COR  PANTONE 3125U - 15,58m²
FAIXA LATERAL (ACESSO):
*COR PANTONE 308U - 11,10m² + Pilares de acesso 7unx 1,70x1,50+ Pilar de acesso 1un x 1,20*1,50
*COR PANTONE 2758C - 14,34m²
*COR  PANTONE 3125U - 11,10m²</t>
  </si>
  <si>
    <t>Vestiarios F/M: 147,86m² x 2
Vestiarios M/F PCD: 5,49m² x 2
Circulação: 6,56m²</t>
  </si>
  <si>
    <t>02un P2 (0,90)
02un P4 (0,90)
Vão de acesso vestiario/quadra 3,00ml</t>
  </si>
  <si>
    <t>DIVISÓRIAS</t>
  </si>
  <si>
    <t>Banheiro Feminino + Masculino 
Div. Frente sanitários:
0,69ml  x1,80altura 
Div. Lateral
(1,57 x 2) +( 1,97x3) x 1,80altura</t>
  </si>
  <si>
    <t>Fundo Selador Paredes Externas</t>
  </si>
  <si>
    <r>
      <rPr>
        <sz val="10"/>
        <color rgb="FFFF0000"/>
        <rFont val="Calibri Light"/>
        <family val="2"/>
      </rPr>
      <t>Vestiário:</t>
    </r>
    <r>
      <rPr>
        <sz val="10"/>
        <rFont val="Calibri Light"/>
        <family val="2"/>
      </rPr>
      <t xml:space="preserve">
Parede  Laterais+ Fundo: 22,95ml x 3,35 altura (-) 2J2
</t>
    </r>
    <r>
      <rPr>
        <sz val="10"/>
        <color rgb="FFFF0000"/>
        <rFont val="Calibri Light"/>
        <family val="2"/>
      </rPr>
      <t>Quadra:</t>
    </r>
    <r>
      <rPr>
        <sz val="10"/>
        <rFont val="Calibri Light"/>
        <family val="2"/>
      </rPr>
      <t xml:space="preserve">
</t>
    </r>
    <r>
      <rPr>
        <sz val="10"/>
        <color rgb="FFFF0000"/>
        <rFont val="Calibri Light"/>
        <family val="2"/>
      </rPr>
      <t>Fechamento 4 lados com desconto de brises e cobogó x 1 lado (externo)</t>
    </r>
    <r>
      <rPr>
        <sz val="10"/>
        <rFont val="Calibri Light"/>
        <family val="2"/>
      </rPr>
      <t xml:space="preserve">
*Parede em frente ao vestiário - 30,00ml x 13,30ml (-) Cobogó 60,50m² + 18,42m²x2un (-) parede vestiario 69,83m²
*Parede Lateral Esq. (arquibancada) - 50,25ml x 13,30ml (-) Cobogó 105,60m²
* Fachada - 399,00m² (-) Cobogó 60,50m²
*Parede Lateral Direita (Acesso) - 503,00m² (-) Cobogó 105,60m² 
*Pilares de acesso 9unx 1,70x1,70</t>
    </r>
  </si>
  <si>
    <t>Emassamento Interno</t>
  </si>
  <si>
    <r>
      <rPr>
        <sz val="10"/>
        <color rgb="FFFF0000"/>
        <rFont val="Calibri Light"/>
        <family val="2"/>
      </rPr>
      <t>Quadra: H=13,30ml</t>
    </r>
    <r>
      <rPr>
        <sz val="10"/>
        <rFont val="Calibri Light"/>
        <family val="2"/>
      </rPr>
      <t xml:space="preserve">
</t>
    </r>
    <r>
      <rPr>
        <sz val="10"/>
        <color rgb="FFFF0000"/>
        <rFont val="Calibri Light"/>
        <family val="2"/>
      </rPr>
      <t xml:space="preserve">Fechamento 4 lados com desconto de brises e cobogó </t>
    </r>
    <r>
      <rPr>
        <sz val="10"/>
        <rFont val="Calibri Light"/>
        <family val="2"/>
      </rPr>
      <t xml:space="preserve">
*Parede em frente ao vestiário - 30,00ml x 13,30ml (- )abertura de acesso 3,00x2,50 e Cobogó 60,50m²
*Parede Lateral Esq. (arquibancada) - 50,25ml x 13,30ml (-) Cobogó 105,60 e arquibancada 56,70m² 
* Fachada - 399,00m² (-) Cobogó 60,50m²
*Parede Lateral Direita (Acesso) - 503,00m² (-) Cobogó 105,60m²
</t>
    </r>
    <r>
      <rPr>
        <sz val="10"/>
        <color rgb="FFFF0000"/>
        <rFont val="Calibri Light"/>
        <family val="2"/>
      </rPr>
      <t>Laje:</t>
    </r>
    <r>
      <rPr>
        <sz val="10"/>
        <rFont val="Calibri Light"/>
        <family val="2"/>
      </rPr>
      <t xml:space="preserve">
Vestiarios F/M: 17,86m² x 2
Vestiarios M/F PCD: 5,49m² x 2
Circulação: 6,56m²</t>
    </r>
  </si>
  <si>
    <t>Pintura Latéx Acrílica Branco Gelo Interno/ Externo</t>
  </si>
  <si>
    <t>Igual as áreas emassadas (-)  pintura pantone</t>
  </si>
  <si>
    <t>Liquibrilho para barrado externo H=1,20cm
*Paredes externas vestiario e Quadra: 118,15ml x 1,20ml altura</t>
  </si>
  <si>
    <t xml:space="preserve"> Pintura com tinta Óleo COR PANTONE 308U</t>
  </si>
  <si>
    <t>*Faixa na parede lateral esquerda (arquibancada): 18,22m² + Arquibancada204,02m²
*Faixa na parede em frente ao vestiario: (10,35ml + 12,90ml) x 1,50 altura
*Faixa na parede área posterior fachada frontal: 29,85ml x 1,50 altura</t>
  </si>
  <si>
    <t xml:space="preserve"> Pintura com tinta Óleo   PANTONE 3125U</t>
  </si>
  <si>
    <t>Faixa na parede lateral esquerda (arquibancada): 49,70ml x 0,25 altura
Faixa na parede em frente ao vestiario: (10,35ml + 12,90ml) x 0,25 altura
Faixa na parede área posterior fachada frontal: 29,85ml x 0,25 altura</t>
  </si>
  <si>
    <t>9.9</t>
  </si>
  <si>
    <t>Esmalte Sint. Metálica (Branco Gelo)
Pintura de Esquadrias</t>
  </si>
  <si>
    <t>Vestiário Fem.= 1,94ml
Vestiário Masc.= 1,94ml</t>
  </si>
  <si>
    <t>0,55 X 0,45 = 0,247M² x 6 UNIDADES</t>
  </si>
  <si>
    <t>Barras de  80cm para chuveiros e vasos sanitarios de banheiros PCD - 09un em cada banheiro</t>
  </si>
  <si>
    <t>Barras de 40cm para portas de Banheiros PCD</t>
  </si>
  <si>
    <t>Barra de apoio Articulada para banheiros PCD 0,40cm</t>
  </si>
  <si>
    <t>Barras de 40cm para pias Banheiros PCD e para as Portas PCD - Uma em cada lado da pia</t>
  </si>
  <si>
    <t>Logo Caixa</t>
  </si>
  <si>
    <t>02 Fachadas</t>
  </si>
  <si>
    <t>Letra Caixa</t>
  </si>
  <si>
    <t>Letra caixa h=0,70cm
Escrita em 2 fachadas: ESCOLA ESTADUAL SÃO SIMÃO</t>
  </si>
  <si>
    <t>10.8</t>
  </si>
  <si>
    <t>Pintura piso da Quadra (passeio/circulação)</t>
  </si>
  <si>
    <t>Pintura de todo o piso da Quadra (-) área de jogo</t>
  </si>
  <si>
    <t>10.9</t>
  </si>
  <si>
    <t>Pintura Piso da Quadra área de jogo</t>
  </si>
  <si>
    <t>Área de jogo</t>
  </si>
  <si>
    <t>Pintura Piso da Quadra (faixas de Demarcação)</t>
  </si>
  <si>
    <t>Faixas de demarcação</t>
  </si>
  <si>
    <t>10.10</t>
  </si>
  <si>
    <t>01 conjunto para quadra</t>
  </si>
  <si>
    <t>10.11</t>
  </si>
  <si>
    <t>10.12</t>
  </si>
  <si>
    <t>10.13</t>
  </si>
  <si>
    <t>Banco Articulado</t>
  </si>
  <si>
    <t>01 banco em cada banheiros F/M</t>
  </si>
  <si>
    <t>*Calçada em volta de toda quadra m² (largura 1,20m²)</t>
  </si>
  <si>
    <t>Limpeza azulejo</t>
  </si>
  <si>
    <t>Limpeza Final da Obra</t>
  </si>
  <si>
    <t>Área dos Vestiários + Quadra + Calçada</t>
  </si>
  <si>
    <t>LEVANTAMENTO QUANTITATIVOS EE SÃO SIMÃO - MURO DE ARRIMO_R01</t>
  </si>
  <si>
    <t>ESCAVAÇÃO  MECANIZADA PARA EXECUÇÃO DO MURO DE ARRIMO</t>
  </si>
  <si>
    <t>acima de 2m</t>
  </si>
  <si>
    <t>abaixo de 2m</t>
  </si>
  <si>
    <t>APILOAMENTO DO FUNDO DAS LAJES DE EQUILIBRIO DO MURO DE ARRIMO</t>
  </si>
  <si>
    <t>LASTRO DE CONCRETO DE 5CM (FUNDO DA LAJE DE EQUILIBRIO DO MURO DE ARRIMO)</t>
  </si>
  <si>
    <t>FÔRMAS DO MURO DE ARRIMO</t>
  </si>
  <si>
    <t>AÇO CA50 - 8mm (kg)</t>
  </si>
  <si>
    <t>AÇO CA50 - 10mm (kg)</t>
  </si>
  <si>
    <t>AÇO CA50 - 12,5mm (kg)</t>
  </si>
  <si>
    <t>VOLUME DE CONCRETO - FCK 25MPa</t>
  </si>
  <si>
    <t>LANÇAMENTO DE CONCRETO (m3)</t>
  </si>
  <si>
    <t>REATERRO E COMPACTAÇÃO</t>
  </si>
  <si>
    <t>BOTA FORA</t>
  </si>
  <si>
    <t xml:space="preserve">LEVANTAMENTO QUANTITATIVOS ESTRUTURAL -  BLOCO 1                </t>
  </si>
  <si>
    <t xml:space="preserve">LEVANTAMENTO QUANTITATIVOS ESTRUTURAL -  BLOCO 02 </t>
  </si>
  <si>
    <t>FORNECIMENTO DE ATERRO (ESTIMADO VOLUME REFERENTE A CAMADA DE 0,60m EM TODA ÁREA DO BLOCO - COM SAIA DE PLATÔ DE 45°) - m3</t>
  </si>
  <si>
    <t xml:space="preserve">FORNECIMENTO DE ATERRO (ESTIMADO VOLUME REFERENTE A CAMADA DE 0,40m EM TODA ÁREA DO BLOCO 02 - COM SAIA DE PLATÔ DE 45°) </t>
  </si>
  <si>
    <t>ESPALHAMENTO DO MATERIAL (ÁREA DO BLOCO 1)  - VER SE HÁ NECESSIDADE DE SER CONTADO DUAS VEZES, POIS É NECESSÁRIO FAZER O ESPALHAMENTO EM DUAS CAMADAS DE 0,20m - m2</t>
  </si>
  <si>
    <t xml:space="preserve">ESPALHAMENTO DO MATERIAL (ÁREA DA QUADRA)  - VER SE HÁ NECESSIDADE DE SER CONTADO DUAS VEZES, POIS É NECESSÁRIO FAZER O ESPALHAMENTO EM DUAS CAMADAS DE 0,20m </t>
  </si>
  <si>
    <t>COMPACTAÇÃO DO MATERIAL (SUGIRO UTILIZAR ROLO COMPACTADOR) - m3</t>
  </si>
  <si>
    <t>Execuão de estaca hélice contínua monitorada, diam. 30cm, 12 m de comprimento. Não incluso armação</t>
  </si>
  <si>
    <t>ESTACAS HELICE CONTINUA MONITORADA Diâmetro 30 cm - Comprimento 12m</t>
  </si>
  <si>
    <t>AÇO DAS ESTACAS - CA60 - 5mm (kg)</t>
  </si>
  <si>
    <t>AÇO DAS ESTACAS - CA60 - 5,0mm</t>
  </si>
  <si>
    <t>AÇO DAS ESTACAS - CA50 - 8mm (kg)</t>
  </si>
  <si>
    <t>AÇO DAS ESTACAS - CA50 - 8,0mm</t>
  </si>
  <si>
    <t>ESCAVAÇÃO  DOS BLOCOS DE COROAMENTO (CONSIDERADO ÁREA DOS BLOCOS E FOLGA DE 20cm PARA CADA LADO) - m3</t>
  </si>
  <si>
    <t xml:space="preserve">ESCAVAÇÃO  DOS BLOCOS (CONSIDERADO ÁREA DOS BLOCOS E FOLGA DE 20cm PARA CADA LADO - ALTURA DO BLOCO + 5cm DE LASTRO + ALTURA DO BALDRAME) </t>
  </si>
  <si>
    <t>ESCAVAÇÃO  DAS VIGAS BALDRAMES (CONSIDERADO VOLUME DE CONCRETO DAS BALDRAMES, DIVIDIDO PELA LARGURA DAS VIGAS (14cm) E MULTIPLICADO PELA LARGURA DA VALA (54cm) - 20cm PARA CADA LADO - m3</t>
  </si>
  <si>
    <t xml:space="preserve">ESCAVAÇÃO  DAS VIGAS BALDRAMES (CONSIDERADO VOLUME DE CONCRETO DAS BALDRAMES, DIVIDIDO PELA LARGURA DAS VIGAS (14cm) E MULTIPLICADO PELA LARGURA DA VALA (54cm) - 20cm PARA CADA LADO </t>
  </si>
  <si>
    <t>APILOAMENTO DE FUNDO DOS BLOCOS - CONSIDERADO ÁREA ESCAVADA - m2</t>
  </si>
  <si>
    <t>APILOAMENTO DE FUNDO DAS VIGAS BALDRAMES - CONSIDERADO ÁREA ESCAVADA - (VOLUME DE ESCAVAÇÃO DIVIDIDO PELA ALTURA DAS VIGAS) - m2</t>
  </si>
  <si>
    <t>LASTRO DE CONCRETO - BLOCOS DE COROAMENTO (ÁREA DE APILOAMENTO * 5cm) - m2</t>
  </si>
  <si>
    <t>LASTRO DE CONCRETO DE 5cm - SAPATAS</t>
  </si>
  <si>
    <t>LASTRO DE CONCRETO - VIGAS BALDRAMES (ÁREA DE APILOAMENTO * 5cm) - m2</t>
  </si>
  <si>
    <t>LASTRO DE CONCRETO DE 5cm - VIGAS BALDRAMES</t>
  </si>
  <si>
    <t>REATERRO DOS BLOCOS DE COROAMENTO - ESCAVAÇÃO MENOS VOLUME DE CONCRETO (m3)</t>
  </si>
  <si>
    <t>REATERRO DAS VIGAS BALDRAMES - ESCAVAÇÃO MENOS VOLUME DE CONCRETO (m3)</t>
  </si>
  <si>
    <t>BOTA FORA DAS SAPATAS - VOLUME DE CONCRETO DAS SAPATAS X EMPOLAMENTO (m3)</t>
  </si>
  <si>
    <t>BOTA FORA DAS VIGAS BALDRAMES - VOLUME DE CONCRETO DAS SAPATAS X EMPOLAMENTO (m3)</t>
  </si>
  <si>
    <t>IMPERMEABILIZAÇÃO - FACE LATERAL E TOPO DAS VIGAS BALDRAMES - IGUAL ÁREA DE FORMAS - m2</t>
  </si>
  <si>
    <t>ÁREA PARCIAL PARA VERIFICAÇÃO DE QTDADE DE FUROS DE SONDAGEM (m2)</t>
  </si>
  <si>
    <t>AREA PARCIAL P/ VERIFICAÇÃO DE QUANTIDADE DE FUROS DE SONDAGEM</t>
  </si>
  <si>
    <t>LASTRO COM PREPARO DE FUNDO COM CAMADA DE BRITA - PARA IMPERMEABILIZAÇÃO DE CONTRAPISO ARMADO - (ÁREA INTERNA * 5cm) - m3</t>
  </si>
  <si>
    <t>LASTRO COM PREPARO DE FUNDO COM CAMADA DE BRITA PARA IMPERMEABILIZAÇÃO DO CONTRAPISO ARMADO e=5CM</t>
  </si>
  <si>
    <t>LONA PLÁSTICA PRETA PARA IMPERMEABILIZAÇÃO DE CONTRAPISO (m2)</t>
  </si>
  <si>
    <t>LONA PLASTICA PRETA PARA IMPERMEABILIZAÇÃO DE PISO</t>
  </si>
  <si>
    <t>VOLUME DE CONCRETO - CONSIDERADO 7cm DE ESPESSURA (m3)</t>
  </si>
  <si>
    <t>TELA - Q92 - m2 - consid. 20% perda trespasse</t>
  </si>
  <si>
    <t>TELA - Q92 (COM PERDA DE 20% DO TRASPASSE)</t>
  </si>
  <si>
    <t>BLOCOS DE FUNDAÇÃO</t>
  </si>
  <si>
    <t>FORMA PARA FUNDAÇÃO (m2)</t>
  </si>
  <si>
    <t>VOLUME DE CONCRETO (m3)</t>
  </si>
  <si>
    <t>AÇO DOS BLOCOS DE COROAMENTO - CA50 - 6,3mm (kg)</t>
  </si>
  <si>
    <t>AÇO DOS BLOCOS DE COROAMENTO - CA50 - 8mm (kg)</t>
  </si>
  <si>
    <t>AÇO DOS BLOCOS DE COROAMENTO - CA50 - 10mm (kg)</t>
  </si>
  <si>
    <t>AÇO CA60 - 5mm (kg)</t>
  </si>
  <si>
    <t>AÇO CA50 - 6,3mm (kg)</t>
  </si>
  <si>
    <t>AÇO CA60 - 6,3mm</t>
  </si>
  <si>
    <t>AÇO CA50 - 5mm</t>
  </si>
  <si>
    <t>FORMA (m2)</t>
  </si>
  <si>
    <t>AÇO CA50 - 16mm (kg)</t>
  </si>
  <si>
    <t>LAJE</t>
  </si>
  <si>
    <t>LAJE PRÉ-MOLDADA TRELIÇADA, PARA COBERTURA, INCLUSIVE EPS, CAPEAMENTO 4,0cm E ALTURA FINAL 12,0cm, fck=25MPa. INCLUSO ESCORAMENTO</t>
  </si>
  <si>
    <t>LAJE TRELIÇADA H=12cm (SOBRECARGA PERM + ACID. DE ATÉ 200,KG/M2)</t>
  </si>
  <si>
    <t xml:space="preserve"> ESTRUTURA DE COBERTURA (Ver proj. est. Metálicas)</t>
  </si>
  <si>
    <t>COBERTURA METÁLICA</t>
  </si>
  <si>
    <t>LEVANTAR DE ACORDO COM A TOPOGRAFIA</t>
  </si>
  <si>
    <t xml:space="preserve">REATERRO DOS BLOCOS + BALDRAMES (ESCAVAÇÃO DOS BLOCOS + ESCAVAÇÃO DAS BALDRAMES - VOLUME DE CONCRETO DOS BLOCOS - VOL. CONCRETO DOS TOCOS DE PILARES - VOL. DE CONCRETO DAS BALDRAMES) </t>
  </si>
  <si>
    <t>BOTAFORA MATERIAL DAS SAPATAS + BALDRAMES (CONSIDERADO 30% DE EMPOLAMENTO)</t>
  </si>
  <si>
    <t>ESTACAS</t>
  </si>
  <si>
    <t>LEVANTAMENTO QUANTITATIVOS CISTERNA VOLUME 25000 LITROS</t>
  </si>
  <si>
    <t>ESCAVAÇÃO  DA CISTERNA (CONSIDERADO ÁREA DA CISTERNA E FOLGA DE 50cm PARA CADA LADO - ALTURA DA CISTERNA + 5cm DE LASTRO) - 33,81m2 X 2,95m = 99,74m3</t>
  </si>
  <si>
    <t>REATERRO DA CISTERNA</t>
  </si>
  <si>
    <t xml:space="preserve">LASTRO DE CONCRETO 5cm - CISTERNA </t>
  </si>
  <si>
    <t>-</t>
  </si>
  <si>
    <t>SAPATA CORRIDA</t>
  </si>
  <si>
    <t>LAJE MACIÇA</t>
  </si>
  <si>
    <t>LEVANTAMENTO QUANTITATIVOS PERGOLADO PLAYGROUND</t>
  </si>
  <si>
    <t>ESCAVAÇAO REFEITÓRIO - BLOCOS SOBRE ESTACA</t>
  </si>
  <si>
    <t xml:space="preserve">ESCAVAÇÃO  DE BLOCO SOBRE ESTACAS E VIGAS DE TRAVAMENTO (CONSIDERADO ÁREA DO BLOCO / VIGA TRAVAMENTO E FOLGA DE 20cm PARA CADA LADO - ALTURA DO BLOCO / VIGA TRAVAMENTO + 5cm DE LASTRO + ALTURA ATÉ O SOLO) </t>
  </si>
  <si>
    <t>P1, P2, P3, P4, P5, P6, P7 e P8</t>
  </si>
  <si>
    <t xml:space="preserve">REATERRO DOS BLOCOS E VIGAS DE TRAVAMENTO (ESCAVAÇÃO DOS BLOCOS / VIGAS DE TRAVAMENTO - VOLUME DE CONCRETO DOS ELEMENTOS) </t>
  </si>
  <si>
    <t>BOTAFORA MATERIAL DOS BLOCOS E VIGAS DE TRAVAMENTO (CONSIDERADO 40% DE EMPOLAMENTO)</t>
  </si>
  <si>
    <t xml:space="preserve">APILOAMENTO DE FUNDO DOS BLOCOS E VIGAS DE TRAVAMENTO - CONSIDERADO ÁREA ESCAVADA </t>
  </si>
  <si>
    <t xml:space="preserve">LASTRO DE CONCRETO - BLOCOS SOBRE ESTACAS E VIGAS DE TRAVAMENTO (ÁREA DE APILOAMENTO * 5cm)  </t>
  </si>
  <si>
    <t>BLOCOS SOBRE ESTACA</t>
  </si>
  <si>
    <t>AÇO CA60 - 5mm (+ AÇO ESTACAS)</t>
  </si>
  <si>
    <t>AÇO CA60 - 8mm (+ AÇO ESTACAS)</t>
  </si>
  <si>
    <t>HÉLICE CONTÍNUA MONITORADA (11 ESTACAS DE 12 METROS)</t>
  </si>
  <si>
    <t>LEVANTAMENTO QUANTITATIVOS ESTRUTURAL QUADRA POLIESPORTIVA GRANDE</t>
  </si>
  <si>
    <t>UN.</t>
  </si>
  <si>
    <t>FORNECIMENTO DE ATERRO (ESTIMADO VOLUME REFERENTE A CAMADA DE 0,40m EM TODA ÁREA DA QUADRA E DO VESTIÁRIO - COM SAIA DE PLATÔ DE 45°) - m3</t>
  </si>
  <si>
    <t>ESPALHAMENTO E COMPACTAÇÃO DO MATERIAL (SUGIRO UTILIZAR ROLO COMPACTADOR) - m3</t>
  </si>
  <si>
    <t>COMPACTAÇÃO DE ATERRO</t>
  </si>
  <si>
    <t>ESTACA HÉLICE CONTÍNUA, DIÂMETRO DE 30 CM, COMPRIMENTO TOTAL ATÉ 15 M, PERFURATRIZ COM TORQUE DE 170 KN.M. AF_02/2015 (sem Armação)</t>
  </si>
  <si>
    <t>ESCAVAÇÃO  DOS BLOCOS (CONSIDERADO ÁREA DOS BLOCOS E FOLGA DE 20cm PARA CADA LADO - ALTURA DE ASSENTAMENTO DO BLOCO CONFORME PROJETO) - m3</t>
  </si>
  <si>
    <t>ESCAVAÇÃO  DAS VIGAS BALDRAMES (CONSIDERADO 20cm PARA CADA LADO) - m3</t>
  </si>
  <si>
    <t>APILOAMENTO DE FUN.O DOS BLOCOS - CONSIDERADO ÁREA ESCAVADA - m2</t>
  </si>
  <si>
    <t>APILOAMENTO DE FUN.O DAS VIGAS BALDRAMES - CONSIDERADO ÁREA ESCAVADA - (VOLUME DE ESCAVAÇÃO DIVIDIDO PELA ALTURA DAS VIGAS) - m2</t>
  </si>
  <si>
    <t>LASTRO DE CONCRETO - BLOCOS (ÁREA DE APILOAMENTO * 5cm) - m2</t>
  </si>
  <si>
    <t>REATERRO DOS BLOCOS - ESCAVAÇÃO MENOS VOLUME DE CONCRETO DOS BLOCOS E DO TOCO DE PILAR (m3)</t>
  </si>
  <si>
    <t>BOTA FORA DOS BLOCOS - VOLUME DE CONCRETO DAS BLOCOS X EMPOLAMENTO (m3)</t>
  </si>
  <si>
    <t>BOTA FORA DAS VIGAS BALDRAMES - VOLUME DE CONCRETO DAS VIGAS BALDRAMES X EMPOLAMENTO (m3)</t>
  </si>
  <si>
    <t>LASTRO COM PREPARO DE FUN.O COM CAMADA DE BRITA - PARA IMPERMEABILIZAÇÃO DE CONTRAPISO ARMADO - (ÁREA INTERNA * 5cm) - m3</t>
  </si>
  <si>
    <t>TELA - Q92 - CONSIDERADO 1,48kg/m2 (m²) - Perda e traspasse de 20%</t>
  </si>
  <si>
    <t>OU</t>
  </si>
  <si>
    <t>BLOCOS</t>
  </si>
  <si>
    <t>FORMA PARA FUN.AÇÃO (m2)</t>
  </si>
  <si>
    <t>AÇO CA50 - 5,0mm (kg)</t>
  </si>
  <si>
    <t>AÇO CA50 - 8,0 mm (kg)</t>
  </si>
  <si>
    <t>AÇO CA50 - 10,0mm (kg)</t>
  </si>
  <si>
    <t>AÇO CA50 - 25mm (kg)</t>
  </si>
  <si>
    <t>FÔRMAS BALDRAMES (m2)</t>
  </si>
  <si>
    <t>LAJE TRELIÇADA H=12 (SOBRECARGA ACID + PERM DE ATÉ 200KG/M²)</t>
  </si>
  <si>
    <t>COBERTURA METÁLICA - QUADRA</t>
  </si>
  <si>
    <t>(kg)</t>
  </si>
  <si>
    <t>(m2)</t>
  </si>
  <si>
    <t>AÇO CA50 - 32mm (CHUMBADORES DA PLACA BASE)</t>
  </si>
  <si>
    <t>COBERTURA - Vestiário</t>
  </si>
  <si>
    <t>AÇO CA50 - 12.5mm (CHUMBADORES DA PLACA BASE)</t>
  </si>
  <si>
    <t>TELA - Q92 (x1,20 DE PERDA)</t>
  </si>
  <si>
    <t>ALVENARIA EM BLOCOS DE CONCRETO ESTRUTURAL (DIMENSÃO DO BLOCO 14x19x39cm) FCK=4,5MPA</t>
  </si>
  <si>
    <t>LEVANTAMENTO QUANTITATIVOS REFEITÓRIO (ESTACAS)</t>
  </si>
  <si>
    <t>ESCAVAÇAO REFEITÓRIO - BLOCO SOBRE ESTACAS</t>
  </si>
  <si>
    <t>P1, P2, P3, P4, P5, P6, P8, P25, P26, P27, P28, P29, P30, P32, P11, P14, P18, P20, P21, P22</t>
  </si>
  <si>
    <t>P9, P10, P12, P13, P15, P16, P17, P19, P23, P24, P31, P7</t>
  </si>
  <si>
    <t xml:space="preserve">LASTRO DE CONCRETO - BLOCOS SOBRE ESTACAS (ÁREA DE APILOAMENTO * 5cm)  </t>
  </si>
  <si>
    <t>AÇO CA60 - 5mm (+ AÇO DAS ESTACAS)</t>
  </si>
  <si>
    <t>AÇO CA50 - 8mm (+ AÇO DAS ESTACAS)</t>
  </si>
  <si>
    <t>HÉLICE CONTÍNUA MONITORADA (53 ESTACAS DE 12 METROS)</t>
  </si>
  <si>
    <t>LAJE TRELIÇADA h=12cm PARA COBERTURA</t>
  </si>
  <si>
    <r>
      <rPr>
        <b/>
        <sz val="12"/>
        <color theme="1"/>
        <rFont val="Calibri Light"/>
        <family val="2"/>
      </rPr>
      <t>ESCOLA</t>
    </r>
    <r>
      <rPr>
        <sz val="12"/>
        <color theme="1"/>
        <rFont val="Calibri Light"/>
        <family val="2"/>
      </rPr>
      <t>: Escola Estadual São Simão</t>
    </r>
  </si>
  <si>
    <r>
      <rPr>
        <b/>
        <sz val="12"/>
        <color theme="1"/>
        <rFont val="Calibri Light"/>
        <family val="2"/>
      </rPr>
      <t>MUNICÍPIO</t>
    </r>
    <r>
      <rPr>
        <sz val="12"/>
        <color theme="1"/>
        <rFont val="Calibri Light"/>
        <family val="2"/>
      </rPr>
      <t xml:space="preserve">: Varzea Grande                                                           </t>
    </r>
    <r>
      <rPr>
        <b/>
        <sz val="12"/>
        <color theme="1"/>
        <rFont val="Calibri Light"/>
        <family val="2"/>
      </rPr>
      <t xml:space="preserve">  Resp</t>
    </r>
    <r>
      <rPr>
        <sz val="12"/>
        <color theme="1"/>
        <rFont val="Calibri Light"/>
        <family val="2"/>
      </rPr>
      <t>. Valdirene Dutra</t>
    </r>
  </si>
  <si>
    <r>
      <t xml:space="preserve">                                                                                                                   </t>
    </r>
    <r>
      <rPr>
        <sz val="11"/>
        <color theme="1"/>
        <rFont val="Arial"/>
        <family val="2"/>
      </rPr>
      <t>Engª Sanitaria</t>
    </r>
  </si>
  <si>
    <t>QUANTITATIVO INSTALAÇÕES HIDROSSANITÁRIAS</t>
  </si>
  <si>
    <t>Registro de gaveta bruto, latão, roscável, 1, com acabamento e canopla cromados.</t>
  </si>
  <si>
    <t>Registro de esfera, pvc, soldável, dn 25 mm</t>
  </si>
  <si>
    <t>Registro de gaveta bruto, latão, roscável, 1 1/4, com acabamento e canopla cromados</t>
  </si>
  <si>
    <t xml:space="preserve">Válvula de retenção horizontal ø 32mm (1.1/4") </t>
  </si>
  <si>
    <t>Valvula pe com crivo bronze 1.1/4"</t>
  </si>
  <si>
    <t>Curva 90 com rosca</t>
  </si>
  <si>
    <t>Adaptador curto com bolsa e rosca para registro, pvc, soldável, dn 40mm x 1.1/4</t>
  </si>
  <si>
    <t>Adaptador curto com bolsa e rosca para registro, pvc, soldável, dn 32mm x 1</t>
  </si>
  <si>
    <t>Cap pvc, soldavel, 32 mm</t>
  </si>
  <si>
    <t>Joelho 90 graus, pvc, soldável, dn 32mm,</t>
  </si>
  <si>
    <t>Joelho 90 graus, pvc, soldável, dn 40mm,</t>
  </si>
  <si>
    <t>Tubo, pvc, soldável, dn 40mm</t>
  </si>
  <si>
    <t>Tubo, pvc, soldável, dn 32mm</t>
  </si>
  <si>
    <t>Tê 90 saldável 32mm</t>
  </si>
  <si>
    <t>Tê 90 saldável 40mm</t>
  </si>
  <si>
    <t>Joelho 90 graus com bucha de latão, pvc, soldável, dn 25mm, x 1/2</t>
  </si>
  <si>
    <t>Luva com bucha de latão, pvc, soldável, dn 20mm x 1/2</t>
  </si>
  <si>
    <t>Luva com bucha de latão, pvc, soldável, dn 25mm x 3/4</t>
  </si>
  <si>
    <t>Adaptador com flanges livres, pvc, soldável longo, dn 85 mm x 3</t>
  </si>
  <si>
    <t>Adaptador curto com bolsa e rosca para registro, pvc, soldável, dn 20mm x 1/2</t>
  </si>
  <si>
    <t>Adaptador curto com bolsa e rosca para registro, pvc, soldável, dn 25mm x 3/4</t>
  </si>
  <si>
    <t>Adaptador curto com bolsa e rosca para registro, pvc, soldável, dn 50mm x 1.1/2</t>
  </si>
  <si>
    <t>Adaptador curto com bolsa e rosca para registro, pvc, soldável, dn 60mm x 2</t>
  </si>
  <si>
    <t>Adaptador curto com bolsa e rosca para registro, pvc, soldável, dn 75mm x 2.1/2</t>
  </si>
  <si>
    <t>Adaptador curto com bolsa e rosca para registro, pvc, soldável, dn 85mm x 3</t>
  </si>
  <si>
    <t>Bucha de reducao de pvc, soldavel, curta com 60 x 50 mm</t>
  </si>
  <si>
    <t>Bucha de reducao de pvc, soldavel, curta com 85 x 75 mm</t>
  </si>
  <si>
    <t xml:space="preserve"> bucha de reducao de pvc, soldavel, longa, com 50 x 25 mm</t>
  </si>
  <si>
    <t>Bucha de reducao de pvc, soldavel, longa, com 60 x 25 mm</t>
  </si>
  <si>
    <t>Bucha de redução, pvc, soldável, dn 75mm x 50mm</t>
  </si>
  <si>
    <t>Bucha de reducao de pvc, soldavel, longa, com 85 x 60 mm</t>
  </si>
  <si>
    <t>Cap pvc, soldavel, 25 mm</t>
  </si>
  <si>
    <t>Joelho 90 graus, pvc, soldável, dn 25mm</t>
  </si>
  <si>
    <t>Joelho 90 graus, pvc, soldável, dn 50mm</t>
  </si>
  <si>
    <t>Joelho 90 graus, pvc, soldável, dn 60mm</t>
  </si>
  <si>
    <t>Joelho 90 graus, pvc, soldável, dn 75mm</t>
  </si>
  <si>
    <t>Joelho 90 graus, pvc, soldável, dn 85mm</t>
  </si>
  <si>
    <t>Joelho de redução 90 soldavel 25mmx20mm</t>
  </si>
  <si>
    <t>Tubo, pvc, soldável, dn 20mm</t>
  </si>
  <si>
    <t>Tubo, pvc, soldável, dn 50mm</t>
  </si>
  <si>
    <t>Tubo, pvc, soldável, dn 60mm</t>
  </si>
  <si>
    <t>Tubo, pvc, soldável, dn 75mm</t>
  </si>
  <si>
    <t>Tubo, pvc, soldável, dn 85mm</t>
  </si>
  <si>
    <t>Te, pvc, soldável, dn 25mm</t>
  </si>
  <si>
    <t xml:space="preserve">Joelho 90 graus com bucha de latão, pvc, soldável, dn 25mm, x 1/2 </t>
  </si>
  <si>
    <t>Tê com bucha de latão na bolsa central, pvc, soldável, dn 25mm x 1/2</t>
  </si>
  <si>
    <t>Registro de gaveta bruto, latão, roscável, 2 1/2</t>
  </si>
  <si>
    <t>Registro de gaveta bruto, latão, roscável, 3'</t>
  </si>
  <si>
    <t>Registro de gaveta bruto, latão, roscável, 2'</t>
  </si>
  <si>
    <t>Registro de gaveta bruto, latão, roscável, 3/4", com acabamento e canopla cromados</t>
  </si>
  <si>
    <t>Registro de pressão bruto, latão, roscável, 3/4", com acabamento e canopla cromados</t>
  </si>
  <si>
    <t>Registro de gaveta bruto, latão, roscável, 1 1/2</t>
  </si>
  <si>
    <t>Te, pvc, soldável, dn 50mm</t>
  </si>
  <si>
    <t>Te, pvc, soldável, dn 60mm</t>
  </si>
  <si>
    <t>Te, pvc, soldável, dn 75mm</t>
  </si>
  <si>
    <t>Te, pvc, soldável, dn 85mm</t>
  </si>
  <si>
    <t>Tê de redução, pvc, soldável, dn 25mm x 20mm</t>
  </si>
  <si>
    <t>Tê de redução, pvc, soldável, dn 50mm x 20mm</t>
  </si>
  <si>
    <t>Tê de redução, pvc, soldável, dn 50mm x 25mm</t>
  </si>
  <si>
    <t xml:space="preserve"> te de redução, pvc, soldável, dn 75mm x 50mm</t>
  </si>
  <si>
    <t xml:space="preserve"> te de redução, pvc, soldável, dn 85mm x 60mm</t>
  </si>
  <si>
    <t>Tê de redução, pvc, soldável, dn 85mm x 75mm</t>
  </si>
  <si>
    <t xml:space="preserve">Joelho 90 graus com bucha de latão, pvc, soldável, dn 25 mm, x 3/4 </t>
  </si>
  <si>
    <t xml:space="preserve">Joelho 90 graus com bucha de latão, pvc, soldável, dn 20mm, x 1/2 </t>
  </si>
  <si>
    <t xml:space="preserve">Joelho 90 graus com bucha de latão, pvc, soldável, dn 25 mm, x 1/2 </t>
  </si>
  <si>
    <t xml:space="preserve">Tê com bucha de latão na bolsa central, pvc, soldável, dn 25mm x 1/2, </t>
  </si>
  <si>
    <t>Tê com bucha de latão na bolsa central, pvc, soldável, dn 25mm x 3/4</t>
  </si>
  <si>
    <t>Bomba centrifuga c/ motor eletrico trifasico 1cv</t>
  </si>
  <si>
    <t>Caixa d'agua tipo taça com capacidade de 5.000 Litros</t>
  </si>
  <si>
    <t>Chave de boia automática superior 10a/250v</t>
  </si>
  <si>
    <t>Torneira de bóia real, roscável, 3/4"</t>
  </si>
  <si>
    <t xml:space="preserve">LOUÇAS PARA OS BANHEIROS COLETIVOS </t>
  </si>
  <si>
    <t>Vaso sanitario sifonado convencional com louça branca</t>
  </si>
  <si>
    <t xml:space="preserve">Valvula descarga 1.1/2" Com registro, acabamento em metal cromado </t>
  </si>
  <si>
    <t>Mictorio sifonado de louca branca com pertences, com registro de pressao 1/2" com canopla cromada acabamento simples e conjunto para fixacao</t>
  </si>
  <si>
    <t xml:space="preserve">Cuba de embutir oval em louça branca, 35 x 50cm </t>
  </si>
  <si>
    <t>Valvula descarga 1.1/2" Com registro, acabamento em metal cromado</t>
  </si>
  <si>
    <t xml:space="preserve">Lavatório louça branca suspenso, 29,5 x 39cm </t>
  </si>
  <si>
    <t>Vaso sanitário sifonado com caixa acoplada louça branca, incluso engate flexível em plástico branco, 1/2 x 40cm</t>
  </si>
  <si>
    <t>Pia de cozinha de aço inoxidavel, cuba dupla, 2,00 x 0,55m</t>
  </si>
  <si>
    <t>Cuba de embutir de aço inoxidável média, incluso válvula tipo americana em metal cromado e sifão flexível em pvc</t>
  </si>
  <si>
    <t>Fornecimento e instalação de chuveiro lava-olhos de emergência em aço galvanizado com acionamento manual e fixação no piso</t>
  </si>
  <si>
    <t>Bancada para cozinha em aço inox  nas dimensões 2,91m x 0,60m com 02 cubas em aço inox de dimensões 0,50 x 0,45 x 0,35, inclusive torneira de pressão para pia longa de parede, sifão metálico para pia e válvula de escoamento metálica para pia de cozinha, fixada sobre parede de alvenaria de tijolo de 1/2 vez acabamento em azulejo ceramico esmaltado de dimensões 150mm x 150mm com rejunte de cor branco</t>
  </si>
  <si>
    <t>Bancada para cozinha em aço inox nas dimensões 1,60 x0,60m com 01 cuba em aço inox de dimensões 0,80 x 0,60 x 0,50, inclusive torneira de pressão para pia longa de parede, sifão para pia e válvula de escoamento metálica para pia de cozinha, fixada sobre parede de alvenaria de tijolo de 1/2 vez acabamento em azulejo ceramico esmaltado de dimensões 150mm x 150mm com rejunte de cor branco.</t>
  </si>
  <si>
    <t>Bancada para cozinha em aço inox nas dimensões 3,20 x0,80m com 01 cuba em aço inox de dimensões 0,80 x 0,60 x 0,50, inclusive torneira de pressão para pia longa de parede, sifão para pia e válvula de escoamento metálica para pia de cozinha, fixada sobre parede de alvenaria de tijolo de 1/2 vez acabamento em azulejo ceramico esmaltado de dimensões 150mm x 150mm com rejunte de cor branco.</t>
  </si>
  <si>
    <t>Torneira pressão uso geral (escovódromo)</t>
  </si>
  <si>
    <t>Lavatório louça branca suspenso, 29,5 x 39cm ou equivalente, padrão popular, incluso sifão tipo garrafa em pvc, válvula e engate flexível 30cm em plástico e torneira cromada de mesa, padrão popular - fornecimento e instalação. Af_12/2013</t>
  </si>
  <si>
    <t>Fornecimento e instalação tanque de lavar duplo em mármore sintéticopreto de dimensões 1,10 x 0,60 m assentado sobre alvenaria</t>
  </si>
  <si>
    <t>Lavatório louça branca com coluna suspensa,  padrão popular, incluso sifão flexível em pvc, válvula e engate flexível 30cm em plástico</t>
  </si>
  <si>
    <t>Torneira de pressão cromada de mesa, para lavatório pcd, com alavanca de acionamento</t>
  </si>
  <si>
    <t>Vaso sanitario sifonado convencional para pcd sem furo frontal com louça branca sem assento, incluso conjunto de ligação para bacia sanitária ajustável</t>
  </si>
  <si>
    <t>Valvula descarga 1.1/2" Com registro, acabamento em metal cromado com alavanca para pcd</t>
  </si>
  <si>
    <t>Ducha higienica</t>
  </si>
  <si>
    <t>Misturador monocomando para chuveiro, base bruta e acabamento cromado</t>
  </si>
  <si>
    <t>Caixa de gordura dupla em concreto pre-moldado dn 60mm com tampa</t>
  </si>
  <si>
    <t>Caixa de inspeção em alvenaria de tijolo maciço 60x60x60cm, revestida internamento com barra lisa (cimento e areia, traço 1:4) e=2,0cm, com tampa pré-moldada de concreto e fundo de concreto 15mpa tipo c - escavação e confecção</t>
  </si>
  <si>
    <t>Caixa de inspeção 80x80x80cm em alvenaria</t>
  </si>
  <si>
    <t>Caixa sifonada, pvc, dn 100 x 100 x 50 mm</t>
  </si>
  <si>
    <t>Caixa sifonada de pvc com grelha branca, 150 x 150 x 50 mm</t>
  </si>
  <si>
    <t>Joelho 45 graus, pvc, serie normal, esgoto predial, dn 100 mm</t>
  </si>
  <si>
    <t>Joelho 45 graus, pvc, serie normal, esgoto predial, dn 50 mm</t>
  </si>
  <si>
    <t>Joelho 45 graus, pvc, serie normal, esgoto predial, dn 75 mm</t>
  </si>
  <si>
    <t>Joelho 45 graus, pvc, serie normal, esgoto predial, dn 40 mm</t>
  </si>
  <si>
    <t>Curva curta 90 graus, pvc, serie normal, esgoto predial, dn 100 mm</t>
  </si>
  <si>
    <t>Curva curta 90 graus, pvc, serie normal, esgoto predial, dn 40 mm</t>
  </si>
  <si>
    <t xml:space="preserve"> joelho 90 graus, pvc, serie normal, esgoto predial, dn 50 mm</t>
  </si>
  <si>
    <t>Joelho 90 graus, pvc, serie normal, esgoto predial, dn 75 mm</t>
  </si>
  <si>
    <t>Joelho 90 graus, pvc, serie normal, esgoto predial, dn 100 mm</t>
  </si>
  <si>
    <t>Joelho 90 graus, pvc, serie normal, esgoto predial, dn 40 mm</t>
  </si>
  <si>
    <t>Junção 45° de pvc branco com redução, ponta bolsa e virola, ø 100 x 50 mm</t>
  </si>
  <si>
    <t>Junção simples, pvc, serie r, água pluvial, dn 75 x 75 mm</t>
  </si>
  <si>
    <t>Junção simples, pvc, serie normal, esgoto predial, dn 100 x 100 mm</t>
  </si>
  <si>
    <t>Junção simples, pvc, serie normal, esgoto predial, dn 50 x 50 mm</t>
  </si>
  <si>
    <t>Junção 45° de pvc branco com redução, ponta bolsa e virola, ø 75 x 50 mm</t>
  </si>
  <si>
    <t>Redução excêntrica, pvc, serie r, água pluvial, dn 100 x 50 mm</t>
  </si>
  <si>
    <t>Redução excêntrica, pvc, serie r, água pluvial, dn 75 x 50 mm</t>
  </si>
  <si>
    <t>Tubo pvc, serie normal, esgoto predial, dn 100 mm</t>
  </si>
  <si>
    <t>Tubo pvc, serie normal, esgoto predial, dn 50 mm</t>
  </si>
  <si>
    <t>Tubo pvc, serie normal, esgoto predial, dn 75 mm</t>
  </si>
  <si>
    <t>Tubo pvc, serie normal, esgoto predial, dn 150 mm</t>
  </si>
  <si>
    <t>Tubo pvc, serie normal, esgoto predial, dn 40 mm</t>
  </si>
  <si>
    <t>Tê, pvc, esgoto, dn 50 x 50 mm</t>
  </si>
  <si>
    <t>Curva curta 90 graus, pvc, serie normal, esgoto predial, dn 50 mm</t>
  </si>
  <si>
    <t>Joelho 90 graus, pvc, serie normal, esgoto predial, dn 50 mm</t>
  </si>
  <si>
    <t>Fornecimento e instalação de terminal de ventilação, série normal, dn 50mm</t>
  </si>
  <si>
    <t>Te, pvc, serie normal, esgoto predial, dn 50 x 50 mm</t>
  </si>
  <si>
    <t>SISTEMA DE TRATAMENTO DE ESGOTO</t>
  </si>
  <si>
    <t>Fossa séptica em alvenaria - tijolo comum maciço, dimensoes 1,90 x 1,00 x 1,40 cm (9,45m³)    SINAPI 95463</t>
  </si>
  <si>
    <t>Fossa séptica em alvenaria - tijolo comum maciço, dimensoes 475 x 240 x 180 cm (20,52m³)</t>
  </si>
  <si>
    <t>Execução de filtro anaeróbico d=2m e profundidade=2,50m</t>
  </si>
  <si>
    <t>Execução de sumidouro em alvenaria de tijolo maciço de dimensões 1,20 x 5,00m com tampa em concreto armado diametro 1,40m e espessura 10 cm  - SINAP 74198</t>
  </si>
  <si>
    <t>Execução de sumidouro em alvenaria de tijolo maciço de dimensões 5,7 x 9 x 19 cm assentado em 1 vez com espassamento entre os tijolos: diametro 3,00m profundidade 3,00m</t>
  </si>
  <si>
    <t>DRENO DOS CONDICIONADORES DE AR E DRENAGEM PLUVIAL</t>
  </si>
  <si>
    <t>Caixa de passagem 30x30x40 com tampa e dreno brita</t>
  </si>
  <si>
    <t>Escavação mecanica de vala em material de 2a. Categoria ate 2 m de profundidade com utilizacao de escavadeira hidraulica</t>
  </si>
  <si>
    <t>Tubo pvc, serie normal, água pluvial, dn 100 mm, fornecido e instalado</t>
  </si>
  <si>
    <t>Tubo pvc, serie normal, água pluvial, dn 150 mm, fornecido e instalado</t>
  </si>
  <si>
    <t>Tubo de concreto, dn 200 mm, fornecido e instalado</t>
  </si>
  <si>
    <t>Ralo hemisférico</t>
  </si>
  <si>
    <t>Caixa de passagem 80x80x62 fundo brita com tampa</t>
  </si>
  <si>
    <t>Cabo isolado em epr seção 16,00 mm² - 0,6/1 KV - 90°C - flexível</t>
  </si>
  <si>
    <t>Cabo isolado em epr seção 25,00 mm² - 0,6/1 KV - 90°C - flexível</t>
  </si>
  <si>
    <t>Cabo isolado em epr seção 35,00 mm² - 0,6/1 KV - 90°C - flexível</t>
  </si>
  <si>
    <t>Cabo isolado em epr seção 70,00 mm² - 0,6/1 KV - 90°C - flexível</t>
  </si>
  <si>
    <t>Cabo isolado em epr seção 120,00 mm² - 0,6/1 KV - 90°C - flexível</t>
  </si>
  <si>
    <t>Caixa retangular 4" x 2" media (1,20 m do piso), metálica, instalada em parede - fornecimento e instalação. Af_12/2015</t>
  </si>
  <si>
    <t>Caixa retangular 4" x 2" alta (2,20 m do piso), metálica, instalada em parede - fornecimento e instalação. Af_12/2015</t>
  </si>
  <si>
    <t>uND</t>
  </si>
  <si>
    <t>Caixa octogonal 3"x3", PVC, instalada em laje - fornecimento e instalação</t>
  </si>
  <si>
    <t>Tomada média de embutir (1 módulo), 2p+t 10 a, incluindo suporte e placa - fornecimento e instalação. Af_12/2015</t>
  </si>
  <si>
    <t>Tomada alta de embutir (1 módulo), 2p+t 10 a, incluindo suporte e placa - fornecimento e instalação. Af_12/2015</t>
  </si>
  <si>
    <t>Tomada alta de embutir (1 módulo), 2p+t 20 a, incluindo suporte e placa - fornecimento e instalação. Af_12/2015</t>
  </si>
  <si>
    <t>Quadro de distribuicao de energia de embutir, em chapa metalica, para 24 disjuntores termomagneticos monopolares, com barramento trifasico e neutro, fornecimento e instalacao</t>
  </si>
  <si>
    <t>Quadro de distribuicao de energia de embutir, em chapa metalica, para 40 disjuntores termomagneticos monopolares, com barramento trifasico e neutro, fornecimento e instalacao</t>
  </si>
  <si>
    <t>Quadro com barramento trifásico para disjuntor de entrada 400A, incluindo fixação, placa de acrílico sem barramentos secundários e disjuntor de entrada - fornecimento e instalação</t>
  </si>
  <si>
    <t>Disjuntor monopolar tipo din, corrente nominal de 25a - fornecimento e instalação. Af_04/2016</t>
  </si>
  <si>
    <t>Disjuntor monopolar tipo din, corrente nominal de 32a - fornecimento e instalação. Af_04/2016</t>
  </si>
  <si>
    <t>Disjuntor bipolar tipo din, corrente nominal de 16a - fornecimento e instalação. Af_04/2016</t>
  </si>
  <si>
    <t>Disjuntor bipolar tipo din, corrente nominal de 20a - fornecimento e instalação. Af_04/2016</t>
  </si>
  <si>
    <t>Fornecimento e instalação de Protetor de Surto (DPS) 175V - 45KA em quadro de distribuição.</t>
  </si>
  <si>
    <t>Disjuntor termomagnetico tripolar padrao nema (americano) 40A 240v, fornecimento e instalacao</t>
  </si>
  <si>
    <t>Disjuntor termomagnetico tripolar padrao nema (americano) 50A 240v, fornecimento e instalacao</t>
  </si>
  <si>
    <t>Quadro com barramento trifásico para disjuntor de entrada 450A, incluindo fixação, placa de acrílico sem barramentos secundários e disjuntor de entrada - fornecimento e instalação</t>
  </si>
  <si>
    <r>
      <t xml:space="preserve">Eletroduto flexível corrugado, pvc, dn 25 mm (3/4"), para circuitos terminais, instalado em </t>
    </r>
    <r>
      <rPr>
        <b/>
        <sz val="10"/>
        <color theme="1"/>
        <rFont val="Calibri Light"/>
        <family val="2"/>
      </rPr>
      <t>forro</t>
    </r>
    <r>
      <rPr>
        <sz val="10"/>
        <color theme="1"/>
        <rFont val="Calibri Light"/>
        <family val="2"/>
      </rPr>
      <t xml:space="preserve"> - fornecimento e instalação. Af_12/2015</t>
    </r>
  </si>
  <si>
    <r>
      <t xml:space="preserve">Eletroduto flexível corrugado, pvc, dn 32 mm (1"), para circuitos terminais, instalado em </t>
    </r>
    <r>
      <rPr>
        <b/>
        <sz val="10"/>
        <color theme="1"/>
        <rFont val="Calibri Light"/>
        <family val="2"/>
      </rPr>
      <t>forro</t>
    </r>
    <r>
      <rPr>
        <sz val="10"/>
        <color theme="1"/>
        <rFont val="Calibri Light"/>
        <family val="2"/>
      </rPr>
      <t xml:space="preserve"> - fornecimento e instalação. Af_12/2015</t>
    </r>
  </si>
  <si>
    <r>
      <t>Eletroduto flexível corrugado, pvc, dn 25 mm (3/4"), para circuitos terminais, instalado em</t>
    </r>
    <r>
      <rPr>
        <b/>
        <sz val="10"/>
        <color theme="1"/>
        <rFont val="Calibri Light"/>
        <family val="2"/>
      </rPr>
      <t xml:space="preserve"> parede</t>
    </r>
    <r>
      <rPr>
        <sz val="10"/>
        <color theme="1"/>
        <rFont val="Calibri Light"/>
        <family val="2"/>
      </rPr>
      <t xml:space="preserve"> - fornecimento e instalação. Af_12/2015</t>
    </r>
  </si>
  <si>
    <r>
      <t xml:space="preserve">Eletroduto flexível corrugado, pvc, dn 32 mm (1"), para circuitos terminais, instalado em </t>
    </r>
    <r>
      <rPr>
        <b/>
        <sz val="10"/>
        <color theme="1"/>
        <rFont val="Calibri Light"/>
        <family val="2"/>
      </rPr>
      <t>parede</t>
    </r>
    <r>
      <rPr>
        <sz val="10"/>
        <color theme="1"/>
        <rFont val="Calibri Light"/>
        <family val="2"/>
      </rPr>
      <t xml:space="preserve"> - fornecimento e instalação. Af_12/2015</t>
    </r>
  </si>
  <si>
    <t>Duto espiral flexivel singelo pead (3") revestido com pvc com fio guia de aco galvanizado, lancado direto no solo, incl conexoes</t>
  </si>
  <si>
    <t>Duto espiral flexivel singelo pead (2") revestido com pvc com fio guia de aco galvanizado, lancado direto no solo, incl conexoes</t>
  </si>
  <si>
    <t>Duto espiral flexivel singelo pead (1.1/2") revestido com pvc com fio guia de aco galvanizado, lancado direto no solo, incl conexoes</t>
  </si>
  <si>
    <t>Duto espiral flexivel singelo pead d=75mm(1") revestido com pvc com fio guia de aco galvanizado, lancado direto no solo, incl conexoes</t>
  </si>
  <si>
    <t>Caixa de passagem 80x80x80 fundo brita com tampa</t>
  </si>
  <si>
    <t>Caixa de passagem 60x60x60 fundo brita com tampa</t>
  </si>
  <si>
    <t>Caixa de passagem 50x50x50 fundo brita com tampa</t>
  </si>
  <si>
    <t>Caixa de passagem 40x40x40 fundo brita com tampa</t>
  </si>
  <si>
    <t>Caixa de passagem 30x30x30 fundo brita com tampa</t>
  </si>
  <si>
    <t xml:space="preserve">Projetor Industrial até LED 150W, fluxo luminoso mínimo 15900 lúmens, vida útil mínima de 50.000 horas, LM80- Fornecimento e Instalação. </t>
  </si>
  <si>
    <t>Fornecimento de Poste Curvo simples de aço  h=9,0m - diam.= 100 mm</t>
  </si>
  <si>
    <t>Fornecimento de Poste Duplo  de aço  h=9,0m - diam.= 100 mm</t>
  </si>
  <si>
    <t>Posto de transformação de 150 KVA - 13.8KV/220-127V</t>
  </si>
  <si>
    <t>VÁRZEA GRANDE - MT</t>
  </si>
  <si>
    <t>FORNECIMENTO E INSTALAÇÃO DE BARRA CHATA DE ALUMÍNIO 1/4" X 3/4", COM CURVA DE 300MM</t>
  </si>
  <si>
    <t xml:space="preserve"> HASTE DE ATERRAMENTO EM AÇO COM 3,00 M DE COMPRIMENTO E DN = 5/8" REVESTIDA COM BAIXA CAMADA DE COBRE, SEM CONECTOR</t>
  </si>
  <si>
    <t xml:space="preserve">REATERRO DE VALA COM COMPACTAÇÃO MANUAL                             </t>
  </si>
  <si>
    <t xml:space="preserve"> DISJUNTOR MONOPOLAR TIPO DIN, CORRENTE NOMINAL DE 10A - FORNECIMENTO E INSTALAÇÃO. AF_04/2016</t>
  </si>
  <si>
    <t xml:space="preserve"> LUVA PARA ELETRODUTO, PVC, ROSCÁVEL, DN 25 MM (3/4"), PARA CIRCUITOS TERMINAIS, INSTALADA EM PAREDE - FORNECIMENTO E INSTALAÇÃO. AF_12/2015</t>
  </si>
  <si>
    <t>FORNECIMENTO E INSTALAÇÃO DE EXTINTOR MANUAL DE ÁGUA PRESSURIZADA , CAPACIDADE 10 LITROS</t>
  </si>
  <si>
    <t>PINTURA ACRILICA PARA SINALIZAÇÃO HORIZONTAL EM PISO CIMENTADO (NA COR VERMELHA COM FAIXA AMARELO, PARA DEMARCAÇÃO DA ÁREA DO EXTINTOR DE INCÊNDIO, CONFORME DETALHE NO PROJETO)</t>
  </si>
  <si>
    <t>ELETRODUTO ZINCADO, INCLUSIVE CONEXÕES DE 3/4"</t>
  </si>
  <si>
    <t xml:space="preserve"> CONDULETE DE PVC, TIPO X, PARA ELETRODUTO DE AÇO GALVANIZADO DN 25 MM (1''), APARENTE - FORNECIMENTO E INSTALAÇÃO. AF_11/2016_P</t>
  </si>
  <si>
    <r>
      <t>PINTURA ESMALTE FOSCO</t>
    </r>
    <r>
      <rPr>
        <b/>
        <sz val="12"/>
        <color rgb="FFFF0000"/>
        <rFont val="Calibri Light"/>
        <family val="2"/>
      </rPr>
      <t xml:space="preserve"> (VERMELHA)</t>
    </r>
    <r>
      <rPr>
        <sz val="12"/>
        <color rgb="FF000000"/>
        <rFont val="Calibri Light"/>
        <family val="2"/>
      </rPr>
      <t>, DUAS DEMAOS, SOBRE SUPERFICIE METALICA, INCLUSO UMA DEMAO DE FUNDO ANTICORROSIVO. UTILIZACAO DE REVOLVER ( AR-COMPRIMIDO).</t>
    </r>
  </si>
  <si>
    <t>CONJUNTO DE MANGUEIRA PARA COMBATE A INCENDIO EM FIBRA DE POLIESTER PURA, COM 1.1/2", REVESTIDA INTERNAMENTE, COM 1 LANCES DE 30M CADA</t>
  </si>
  <si>
    <t>FORNECIMENTO E INSTALAÇÃO DE CHAVE PARA CONEXÃO DE MANGUEIRA TIPO STORZ ENGATE RÁPIDO DUPLA 1.1/2" X 2.1/2"</t>
  </si>
  <si>
    <t>ASSENTAMENTO DE TAMPÃO DE FERRO FUNDIDO 600MM</t>
  </si>
  <si>
    <t>FORNECIMENTO E INSTALAÇÃO DE BOMBA TRIFÁSICA 5,0CV - 127/220V</t>
  </si>
  <si>
    <t>FORNECIMENTO E INSTALAÇÃO CHAVE DE PARTIDA PARA BOMBA 5CV</t>
  </si>
  <si>
    <t>CAIXA D'ÁGUA TIPO TAÇA 10.000 L, CONFORME PROJETO PADRÃO SEDUC</t>
  </si>
  <si>
    <t>74198/001</t>
  </si>
  <si>
    <t>SUMIDOURO EM ALVENARIA DE TIJOLO CERAMICO MACICO DIAMETRO 1,20M E ALTURA 5,00M, COM TAMPA EM CONCRETO ARMADO DIAMETRO 1,40M E ESPESSURA 10CM</t>
  </si>
  <si>
    <t>6.13.5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</si>
</sst>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00"/>
    <numFmt numFmtId="166" formatCode="_(&quot;R$ &quot;* #,##0.00_);_(&quot;R$ &quot;* \(#,##0.00\);_(&quot;R$ &quot;* &quot;-&quot;??_);_(@_)"/>
    <numFmt numFmtId="167" formatCode="0.000%"/>
    <numFmt numFmtId="168" formatCode="0.0000%"/>
    <numFmt numFmtId="169" formatCode="0.0"/>
    <numFmt numFmtId="170" formatCode="0.0000000000000%"/>
  </numFmts>
  <fonts count="7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 Light"/>
      <family val="2"/>
    </font>
    <font>
      <sz val="10"/>
      <color theme="1"/>
      <name val="Calibri Light"/>
      <family val="2"/>
    </font>
    <font>
      <b/>
      <sz val="10"/>
      <name val="Calibri Light"/>
      <family val="2"/>
    </font>
    <font>
      <sz val="10"/>
      <name val="Arial"/>
      <family val="2"/>
    </font>
    <font>
      <i/>
      <sz val="9"/>
      <color theme="1"/>
      <name val="Calibri Light"/>
      <family val="2"/>
    </font>
    <font>
      <sz val="10"/>
      <color theme="1"/>
      <name val="Arial"/>
      <family val="2"/>
    </font>
    <font>
      <sz val="10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b/>
      <sz val="12"/>
      <color theme="0"/>
      <name val="Calibri Light"/>
      <family val="2"/>
    </font>
    <font>
      <i/>
      <sz val="12"/>
      <color theme="1"/>
      <name val="Calibri Ligh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12"/>
      <name val="Calibri Light"/>
      <family val="2"/>
    </font>
    <font>
      <sz val="11"/>
      <name val="Calibri Light"/>
      <family val="2"/>
    </font>
    <font>
      <b/>
      <sz val="12"/>
      <name val="Calibri Light"/>
      <family val="2"/>
    </font>
    <font>
      <sz val="2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 Light"/>
      <family val="2"/>
    </font>
    <font>
      <b/>
      <sz val="11"/>
      <color theme="0"/>
      <name val="Calibri Light"/>
      <family val="2"/>
    </font>
    <font>
      <b/>
      <sz val="10"/>
      <color rgb="FFFF0000"/>
      <name val="Calibri Light"/>
      <family val="2"/>
    </font>
    <font>
      <b/>
      <sz val="10"/>
      <color theme="0"/>
      <name val="Calibri Light"/>
      <family val="2"/>
    </font>
    <font>
      <b/>
      <i/>
      <sz val="8"/>
      <color theme="1"/>
      <name val="Calibri Light"/>
      <family val="2"/>
    </font>
    <font>
      <i/>
      <sz val="8"/>
      <color theme="1"/>
      <name val="Calibri Light"/>
      <family val="2"/>
    </font>
    <font>
      <b/>
      <i/>
      <sz val="8"/>
      <color indexed="8"/>
      <name val="Calibri Light"/>
      <family val="2"/>
    </font>
    <font>
      <i/>
      <sz val="8"/>
      <color indexed="8"/>
      <name val="Calibri Light"/>
      <family val="2"/>
    </font>
    <font>
      <b/>
      <i/>
      <sz val="10"/>
      <color rgb="FFFF0000"/>
      <name val="Calibri Light"/>
      <family val="2"/>
    </font>
    <font>
      <b/>
      <i/>
      <sz val="10"/>
      <name val="Calibri Light"/>
      <family val="2"/>
    </font>
    <font>
      <i/>
      <sz val="11"/>
      <color rgb="FFFF0000"/>
      <name val="Calibri Light"/>
      <family val="2"/>
    </font>
    <font>
      <b/>
      <i/>
      <u/>
      <sz val="11"/>
      <color indexed="10"/>
      <name val="Calibri Light"/>
      <family val="2"/>
    </font>
    <font>
      <i/>
      <sz val="11"/>
      <color indexed="10"/>
      <name val="Calibri Light"/>
      <family val="2"/>
    </font>
    <font>
      <sz val="11"/>
      <color rgb="FFFF0000"/>
      <name val="Calibri Light"/>
      <family val="2"/>
    </font>
    <font>
      <sz val="10"/>
      <color rgb="FF000000"/>
      <name val="Arial"/>
      <family val="2"/>
    </font>
    <font>
      <sz val="9"/>
      <color theme="1"/>
      <name val="Cambria"/>
      <family val="2"/>
      <scheme val="maj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2"/>
      <color rgb="FF00B0F0"/>
      <name val="Calibri Light"/>
      <family val="2"/>
    </font>
    <font>
      <sz val="14"/>
      <color theme="1"/>
      <name val="Calibri"/>
      <family val="2"/>
      <scheme val="minor"/>
    </font>
    <font>
      <sz val="13"/>
      <name val="Calibri"/>
      <family val="2"/>
      <scheme val="minor"/>
    </font>
    <font>
      <sz val="10"/>
      <color rgb="FFFF3300"/>
      <name val="Calibri Light"/>
      <family val="2"/>
    </font>
    <font>
      <sz val="11"/>
      <name val="Arial"/>
      <family val="1"/>
    </font>
    <font>
      <b/>
      <sz val="11"/>
      <name val="Arial"/>
      <family val="1"/>
    </font>
    <font>
      <sz val="8"/>
      <name val="Arial"/>
      <family val="1"/>
    </font>
    <font>
      <b/>
      <sz val="12"/>
      <name val="Arial"/>
      <family val="1"/>
    </font>
    <font>
      <b/>
      <sz val="8"/>
      <name val="Arial"/>
      <family val="1"/>
    </font>
    <font>
      <b/>
      <sz val="9"/>
      <color rgb="FFFFFFFF"/>
      <name val="Calibri Light"/>
      <family val="2"/>
    </font>
    <font>
      <b/>
      <sz val="9"/>
      <color rgb="FF000000"/>
      <name val="Calibri Light"/>
      <family val="2"/>
    </font>
    <font>
      <sz val="9"/>
      <color rgb="FF000000"/>
      <name val="Calibri Light"/>
      <family val="2"/>
    </font>
    <font>
      <sz val="9"/>
      <color theme="1"/>
      <name val="Calibri Light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 Light"/>
      <family val="2"/>
    </font>
    <font>
      <sz val="10"/>
      <color theme="0" tint="-0.34998626667073579"/>
      <name val="Calibri Light"/>
      <family val="2"/>
    </font>
    <font>
      <sz val="10"/>
      <color rgb="FFFFFF00"/>
      <name val="Calibri Light"/>
      <family val="2"/>
    </font>
    <font>
      <sz val="10"/>
      <color rgb="FF00B0F0"/>
      <name val="Calibri Light"/>
      <family val="2"/>
    </font>
    <font>
      <sz val="18"/>
      <color theme="1"/>
      <name val="Calibri"/>
      <family val="2"/>
      <scheme val="minor"/>
    </font>
    <font>
      <sz val="23"/>
      <color rgb="FF000000"/>
      <name val="Calibri"/>
      <family val="2"/>
    </font>
    <font>
      <sz val="11"/>
      <color theme="1"/>
      <name val="Calibri"/>
      <family val="2"/>
    </font>
    <font>
      <b/>
      <sz val="13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3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1"/>
      <name val="Arial"/>
      <family val="2"/>
    </font>
    <font>
      <b/>
      <sz val="12"/>
      <color rgb="FFFF0000"/>
      <name val="Calibri Light"/>
      <family val="2"/>
    </font>
  </fonts>
  <fills count="3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71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70AD4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</fills>
  <borders count="9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CCCCCC"/>
      </left>
      <right/>
      <top/>
      <bottom/>
      <diagonal/>
    </border>
    <border>
      <left style="thin">
        <color rgb="FFCCCCCC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CCCCCC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48">
    <xf numFmtId="0" fontId="0" fillId="0" borderId="0" xfId="0"/>
    <xf numFmtId="0" fontId="2" fillId="0" borderId="0" xfId="0" applyFont="1" applyBorder="1" applyAlignment="1">
      <alignment horizontal="left" vertical="center"/>
    </xf>
    <xf numFmtId="0" fontId="2" fillId="0" borderId="4" xfId="3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3" fontId="3" fillId="0" borderId="0" xfId="3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3" applyNumberFormat="1" applyFont="1" applyBorder="1" applyAlignment="1">
      <alignment horizontal="center" vertical="center"/>
    </xf>
    <xf numFmtId="43" fontId="3" fillId="0" borderId="0" xfId="0" applyNumberFormat="1" applyFont="1" applyBorder="1" applyAlignment="1">
      <alignment horizontal="center" vertical="center" wrapText="1"/>
    </xf>
    <xf numFmtId="10" fontId="3" fillId="0" borderId="0" xfId="2" applyNumberFormat="1" applyFont="1" applyBorder="1" applyAlignment="1">
      <alignment horizontal="center" vertical="center" wrapText="1"/>
    </xf>
    <xf numFmtId="43" fontId="3" fillId="4" borderId="0" xfId="0" applyNumberFormat="1" applyFont="1" applyFill="1" applyBorder="1" applyAlignment="1">
      <alignment vertical="center" wrapText="1"/>
    </xf>
    <xf numFmtId="10" fontId="3" fillId="4" borderId="0" xfId="2" applyNumberFormat="1" applyFont="1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3" xfId="0" applyNumberFormat="1" applyFont="1" applyBorder="1" applyAlignment="1">
      <alignment horizontal="center" vertical="center" wrapText="1"/>
    </xf>
    <xf numFmtId="10" fontId="2" fillId="0" borderId="3" xfId="3" applyNumberFormat="1" applyFont="1" applyBorder="1" applyAlignment="1">
      <alignment horizontal="center" vertical="center" wrapText="1"/>
    </xf>
    <xf numFmtId="10" fontId="2" fillId="0" borderId="3" xfId="2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7" fontId="3" fillId="0" borderId="0" xfId="0" applyNumberFormat="1" applyFont="1" applyBorder="1" applyAlignment="1">
      <alignment horizontal="left" vertical="center" wrapText="1"/>
    </xf>
    <xf numFmtId="10" fontId="3" fillId="0" borderId="0" xfId="2" applyNumberFormat="1" applyFont="1" applyBorder="1" applyAlignment="1">
      <alignment horizontal="left" vertical="center" wrapText="1"/>
    </xf>
    <xf numFmtId="44" fontId="3" fillId="0" borderId="0" xfId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10" fontId="2" fillId="0" borderId="10" xfId="3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43" fontId="3" fillId="0" borderId="0" xfId="0" applyNumberFormat="1" applyFont="1" applyBorder="1" applyAlignment="1">
      <alignment horizontal="right" vertical="center" wrapText="1"/>
    </xf>
    <xf numFmtId="43" fontId="2" fillId="0" borderId="10" xfId="0" applyNumberFormat="1" applyFont="1" applyBorder="1" applyAlignment="1">
      <alignment horizontal="right" vertical="center" wrapText="1"/>
    </xf>
    <xf numFmtId="10" fontId="3" fillId="0" borderId="0" xfId="2" applyNumberFormat="1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3" fontId="10" fillId="0" borderId="0" xfId="3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43" fontId="9" fillId="0" borderId="5" xfId="3" applyFont="1" applyBorder="1" applyAlignment="1">
      <alignment vertical="center" wrapText="1"/>
    </xf>
    <xf numFmtId="43" fontId="9" fillId="0" borderId="5" xfId="3" applyFont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43" fontId="10" fillId="0" borderId="0" xfId="3" applyFont="1" applyFill="1" applyBorder="1" applyAlignment="1">
      <alignment vertical="center" wrapText="1"/>
    </xf>
    <xf numFmtId="43" fontId="10" fillId="0" borderId="0" xfId="3" applyFont="1" applyFill="1" applyBorder="1" applyAlignment="1">
      <alignment horizontal="right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Alignment="1">
      <alignment vertical="center"/>
    </xf>
    <xf numFmtId="43" fontId="10" fillId="0" borderId="0" xfId="3" applyFont="1" applyAlignment="1">
      <alignment horizontal="right" vertical="center" wrapText="1"/>
    </xf>
    <xf numFmtId="43" fontId="10" fillId="0" borderId="0" xfId="3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right" vertical="center" wrapText="1"/>
    </xf>
    <xf numFmtId="43" fontId="9" fillId="0" borderId="5" xfId="3" applyFont="1" applyFill="1" applyBorder="1" applyAlignment="1">
      <alignment vertical="center" wrapText="1"/>
    </xf>
    <xf numFmtId="43" fontId="9" fillId="0" borderId="5" xfId="3" applyFont="1" applyFill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3" applyNumberFormat="1" applyFont="1" applyBorder="1" applyAlignment="1">
      <alignment horizontal="center" vertical="center" wrapText="1"/>
    </xf>
    <xf numFmtId="10" fontId="16" fillId="0" borderId="0" xfId="2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3" applyNumberFormat="1" applyFont="1" applyBorder="1" applyAlignment="1">
      <alignment horizontal="center" vertical="center"/>
    </xf>
    <xf numFmtId="0" fontId="17" fillId="0" borderId="0" xfId="3" applyNumberFormat="1" applyFont="1" applyBorder="1" applyAlignment="1">
      <alignment horizontal="right" vertical="center"/>
    </xf>
    <xf numFmtId="0" fontId="16" fillId="0" borderId="0" xfId="3" applyNumberFormat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43" fontId="3" fillId="0" borderId="0" xfId="0" applyNumberFormat="1" applyFont="1" applyFill="1" applyBorder="1" applyAlignment="1">
      <alignment vertical="center" wrapText="1"/>
    </xf>
    <xf numFmtId="10" fontId="3" fillId="0" borderId="0" xfId="2" applyNumberFormat="1" applyFont="1" applyFill="1" applyBorder="1" applyAlignment="1">
      <alignment vertical="center" wrapText="1"/>
    </xf>
    <xf numFmtId="0" fontId="2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/>
    </xf>
    <xf numFmtId="43" fontId="3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43" fontId="10" fillId="0" borderId="0" xfId="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right" vertical="center" wrapText="1"/>
    </xf>
    <xf numFmtId="0" fontId="18" fillId="0" borderId="0" xfId="0" applyFont="1" applyFill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10" fontId="19" fillId="0" borderId="0" xfId="2" applyNumberFormat="1" applyFont="1" applyFill="1" applyBorder="1" applyAlignment="1">
      <alignment horizontal="center" vertical="center"/>
    </xf>
    <xf numFmtId="17" fontId="16" fillId="0" borderId="0" xfId="3" applyNumberFormat="1" applyFont="1" applyBorder="1" applyAlignment="1">
      <alignment horizontal="left" vertical="center" wrapText="1"/>
    </xf>
    <xf numFmtId="43" fontId="10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43" fontId="3" fillId="0" borderId="0" xfId="0" applyNumberFormat="1" applyFont="1" applyBorder="1" applyAlignment="1">
      <alignment vertical="center" wrapText="1"/>
    </xf>
    <xf numFmtId="43" fontId="3" fillId="5" borderId="0" xfId="0" applyNumberFormat="1" applyFont="1" applyFill="1" applyBorder="1" applyAlignment="1">
      <alignment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5" fillId="11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11" borderId="12" xfId="0" applyFont="1" applyFill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9" borderId="32" xfId="0" applyFont="1" applyFill="1" applyBorder="1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15" fillId="11" borderId="31" xfId="0" applyFont="1" applyFill="1" applyBorder="1" applyAlignment="1">
      <alignment horizontal="center" vertical="center"/>
    </xf>
    <xf numFmtId="2" fontId="25" fillId="5" borderId="9" xfId="0" applyNumberFormat="1" applyFont="1" applyFill="1" applyBorder="1" applyAlignment="1">
      <alignment horizontal="center" vertical="center"/>
    </xf>
    <xf numFmtId="2" fontId="25" fillId="5" borderId="43" xfId="0" applyNumberFormat="1" applyFont="1" applyFill="1" applyBorder="1" applyAlignment="1">
      <alignment horizontal="center" vertical="center"/>
    </xf>
    <xf numFmtId="2" fontId="25" fillId="5" borderId="47" xfId="0" applyNumberFormat="1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43" xfId="0" applyFont="1" applyFill="1" applyBorder="1" applyAlignment="1">
      <alignment horizontal="center" vertical="center"/>
    </xf>
    <xf numFmtId="43" fontId="10" fillId="5" borderId="0" xfId="3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0" fontId="3" fillId="0" borderId="0" xfId="0" applyNumberFormat="1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0" fillId="0" borderId="0" xfId="3" applyNumberFormat="1" applyFont="1" applyFill="1" applyBorder="1" applyAlignment="1">
      <alignment horizontal="center" vertical="center" wrapText="1"/>
    </xf>
    <xf numFmtId="0" fontId="9" fillId="0" borderId="0" xfId="3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43" fontId="10" fillId="0" borderId="4" xfId="3" applyFont="1" applyFill="1" applyBorder="1" applyAlignment="1">
      <alignment vertical="center" wrapText="1"/>
    </xf>
    <xf numFmtId="43" fontId="9" fillId="0" borderId="4" xfId="3" applyFont="1" applyFill="1" applyBorder="1" applyAlignment="1">
      <alignment vertical="center" wrapText="1"/>
    </xf>
    <xf numFmtId="43" fontId="9" fillId="0" borderId="4" xfId="3" applyFont="1" applyFill="1" applyBorder="1" applyAlignment="1">
      <alignment horizontal="right" vertical="center" wrapText="1"/>
    </xf>
    <xf numFmtId="43" fontId="9" fillId="0" borderId="0" xfId="3" applyFont="1" applyFill="1" applyBorder="1" applyAlignment="1">
      <alignment vertical="center" wrapText="1"/>
    </xf>
    <xf numFmtId="164" fontId="20" fillId="0" borderId="0" xfId="5" applyFont="1" applyFill="1" applyBorder="1" applyAlignment="1">
      <alignment horizontal="justify" vertical="justify" wrapText="1"/>
    </xf>
    <xf numFmtId="0" fontId="20" fillId="0" borderId="0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vertical="center" wrapText="1"/>
    </xf>
    <xf numFmtId="17" fontId="3" fillId="0" borderId="6" xfId="0" applyNumberFormat="1" applyFont="1" applyBorder="1" applyAlignment="1">
      <alignment horizontal="left" vertical="center" wrapText="1"/>
    </xf>
    <xf numFmtId="0" fontId="20" fillId="5" borderId="0" xfId="0" applyFont="1" applyFill="1" applyBorder="1" applyAlignment="1">
      <alignment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43" fontId="10" fillId="5" borderId="0" xfId="3" applyFont="1" applyFill="1" applyBorder="1" applyAlignment="1">
      <alignment horizontal="center" vertical="top" wrapText="1"/>
    </xf>
    <xf numFmtId="44" fontId="10" fillId="5" borderId="0" xfId="3" applyNumberFormat="1" applyFont="1" applyFill="1" applyBorder="1" applyAlignment="1">
      <alignment horizontal="right" vertical="top" wrapText="1"/>
    </xf>
    <xf numFmtId="43" fontId="10" fillId="5" borderId="0" xfId="3" applyFont="1" applyFill="1" applyBorder="1" applyAlignment="1">
      <alignment horizontal="right" vertical="top" wrapText="1"/>
    </xf>
    <xf numFmtId="43" fontId="9" fillId="0" borderId="5" xfId="3" applyFont="1" applyBorder="1" applyAlignment="1">
      <alignment vertical="top" wrapText="1"/>
    </xf>
    <xf numFmtId="44" fontId="9" fillId="0" borderId="5" xfId="3" applyNumberFormat="1" applyFont="1" applyBorder="1" applyAlignment="1">
      <alignment horizontal="right" vertical="top" wrapText="1"/>
    </xf>
    <xf numFmtId="43" fontId="9" fillId="0" borderId="5" xfId="3" applyFont="1" applyBorder="1" applyAlignment="1">
      <alignment horizontal="right" vertical="top" wrapText="1"/>
    </xf>
    <xf numFmtId="0" fontId="9" fillId="0" borderId="0" xfId="0" applyFont="1" applyAlignment="1">
      <alignment horizontal="center" vertical="center" wrapText="1"/>
    </xf>
    <xf numFmtId="0" fontId="10" fillId="5" borderId="0" xfId="0" applyFont="1" applyFill="1" applyBorder="1" applyAlignment="1">
      <alignment vertical="center" wrapText="1"/>
    </xf>
    <xf numFmtId="43" fontId="10" fillId="5" borderId="0" xfId="3" applyFont="1" applyFill="1" applyBorder="1" applyAlignment="1">
      <alignment vertical="center" wrapText="1"/>
    </xf>
    <xf numFmtId="43" fontId="10" fillId="5" borderId="0" xfId="3" applyFont="1" applyFill="1" applyBorder="1" applyAlignment="1">
      <alignment horizontal="right" vertical="center" wrapText="1"/>
    </xf>
    <xf numFmtId="0" fontId="10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justify" vertical="center" wrapText="1"/>
    </xf>
    <xf numFmtId="0" fontId="18" fillId="5" borderId="0" xfId="0" quotePrefix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43" fontId="10" fillId="5" borderId="5" xfId="3" applyFont="1" applyFill="1" applyBorder="1" applyAlignment="1">
      <alignment horizontal="right" vertical="center" wrapText="1"/>
    </xf>
    <xf numFmtId="0" fontId="18" fillId="5" borderId="0" xfId="0" applyFont="1" applyFill="1" applyBorder="1" applyAlignment="1">
      <alignment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right" vertical="center" wrapText="1"/>
    </xf>
    <xf numFmtId="43" fontId="9" fillId="5" borderId="5" xfId="3" applyFont="1" applyFill="1" applyBorder="1" applyAlignment="1">
      <alignment vertical="center" wrapText="1"/>
    </xf>
    <xf numFmtId="43" fontId="9" fillId="5" borderId="5" xfId="3" applyFont="1" applyFill="1" applyBorder="1" applyAlignment="1">
      <alignment horizontal="right" vertical="center" wrapText="1"/>
    </xf>
    <xf numFmtId="43" fontId="18" fillId="5" borderId="0" xfId="3" applyFont="1" applyFill="1" applyBorder="1" applyAlignment="1">
      <alignment vertical="center" wrapText="1"/>
    </xf>
    <xf numFmtId="43" fontId="18" fillId="5" borderId="0" xfId="3" applyFont="1" applyFill="1" applyBorder="1" applyAlignment="1">
      <alignment horizontal="right" vertical="center" wrapText="1"/>
    </xf>
    <xf numFmtId="43" fontId="10" fillId="5" borderId="0" xfId="3" applyNumberFormat="1" applyFont="1" applyFill="1" applyBorder="1" applyAlignment="1">
      <alignment horizontal="right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26" fillId="12" borderId="0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vertical="center" wrapText="1"/>
    </xf>
    <xf numFmtId="43" fontId="9" fillId="5" borderId="4" xfId="3" applyFont="1" applyFill="1" applyBorder="1" applyAlignment="1">
      <alignment vertical="center" wrapText="1"/>
    </xf>
    <xf numFmtId="43" fontId="10" fillId="5" borderId="4" xfId="3" applyFont="1" applyFill="1" applyBorder="1" applyAlignment="1">
      <alignment horizontal="right" vertical="center" wrapText="1"/>
    </xf>
    <xf numFmtId="0" fontId="18" fillId="5" borderId="0" xfId="0" applyFont="1" applyFill="1" applyBorder="1" applyAlignment="1">
      <alignment horizontal="center" vertical="center"/>
    </xf>
    <xf numFmtId="164" fontId="18" fillId="5" borderId="0" xfId="5" applyFont="1" applyFill="1" applyBorder="1" applyAlignment="1">
      <alignment horizontal="left" vertical="center" wrapText="1"/>
    </xf>
    <xf numFmtId="164" fontId="18" fillId="5" borderId="0" xfId="5" applyFont="1" applyFill="1" applyBorder="1" applyAlignment="1">
      <alignment horizontal="left" vertical="justify" wrapText="1"/>
    </xf>
    <xf numFmtId="0" fontId="26" fillId="5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20" fillId="5" borderId="5" xfId="0" applyFont="1" applyFill="1" applyBorder="1" applyAlignment="1">
      <alignment horizontal="right" vertical="center" wrapText="1"/>
    </xf>
    <xf numFmtId="2" fontId="18" fillId="5" borderId="0" xfId="0" applyNumberFormat="1" applyFont="1" applyFill="1" applyBorder="1" applyAlignment="1">
      <alignment horizontal="right" vertical="center" wrapText="1"/>
    </xf>
    <xf numFmtId="2" fontId="10" fillId="5" borderId="0" xfId="0" applyNumberFormat="1" applyFont="1" applyFill="1" applyBorder="1" applyAlignment="1">
      <alignment horizontal="right" vertical="center" wrapText="1"/>
    </xf>
    <xf numFmtId="0" fontId="18" fillId="12" borderId="0" xfId="0" applyFont="1" applyFill="1" applyBorder="1" applyAlignment="1">
      <alignment horizontal="center" vertical="center" wrapText="1"/>
    </xf>
    <xf numFmtId="2" fontId="18" fillId="12" borderId="0" xfId="0" applyNumberFormat="1" applyFont="1" applyFill="1" applyBorder="1" applyAlignment="1">
      <alignment horizontal="center" vertical="center" wrapText="1"/>
    </xf>
    <xf numFmtId="43" fontId="26" fillId="12" borderId="0" xfId="3" applyFont="1" applyFill="1" applyBorder="1" applyAlignment="1">
      <alignment horizontal="center" vertical="center" wrapText="1"/>
    </xf>
    <xf numFmtId="2" fontId="26" fillId="12" borderId="0" xfId="0" applyNumberFormat="1" applyFont="1" applyFill="1" applyBorder="1" applyAlignment="1">
      <alignment horizontal="center" vertical="center" wrapText="1"/>
    </xf>
    <xf numFmtId="0" fontId="18" fillId="12" borderId="0" xfId="5" applyNumberFormat="1" applyFont="1" applyFill="1" applyBorder="1" applyAlignment="1">
      <alignment horizontal="justify" vertical="justify" wrapText="1"/>
    </xf>
    <xf numFmtId="164" fontId="18" fillId="12" borderId="0" xfId="5" applyFont="1" applyFill="1" applyBorder="1" applyAlignment="1">
      <alignment horizontal="left" vertical="justify" wrapText="1"/>
    </xf>
    <xf numFmtId="164" fontId="18" fillId="12" borderId="0" xfId="5" applyFont="1" applyFill="1" applyBorder="1" applyAlignment="1">
      <alignment horizontal="left" vertical="top" wrapText="1"/>
    </xf>
    <xf numFmtId="0" fontId="18" fillId="12" borderId="0" xfId="0" applyFont="1" applyFill="1" applyBorder="1" applyAlignment="1">
      <alignment vertical="center" wrapText="1"/>
    </xf>
    <xf numFmtId="4" fontId="26" fillId="12" borderId="0" xfId="3" applyNumberFormat="1" applyFont="1" applyFill="1" applyBorder="1" applyAlignment="1">
      <alignment horizontal="center" vertical="center" wrapText="1"/>
    </xf>
    <xf numFmtId="0" fontId="18" fillId="5" borderId="0" xfId="5" applyNumberFormat="1" applyFont="1" applyFill="1" applyBorder="1" applyAlignment="1">
      <alignment horizontal="left" vertical="center" wrapText="1"/>
    </xf>
    <xf numFmtId="164" fontId="18" fillId="5" borderId="0" xfId="5" applyFont="1" applyFill="1" applyBorder="1" applyAlignment="1">
      <alignment horizontal="center" vertical="center"/>
    </xf>
    <xf numFmtId="0" fontId="18" fillId="5" borderId="0" xfId="0" quotePrefix="1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8" fillId="0" borderId="0" xfId="4" applyFont="1" applyBorder="1"/>
    <xf numFmtId="0" fontId="27" fillId="13" borderId="49" xfId="4" applyFont="1" applyFill="1" applyBorder="1" applyAlignment="1">
      <alignment horizontal="center"/>
    </xf>
    <xf numFmtId="0" fontId="8" fillId="0" borderId="21" xfId="4" applyFont="1" applyBorder="1"/>
    <xf numFmtId="0" fontId="8" fillId="0" borderId="0" xfId="4" applyFont="1" applyBorder="1" applyAlignment="1">
      <alignment horizontal="center"/>
    </xf>
    <xf numFmtId="10" fontId="3" fillId="0" borderId="22" xfId="12" applyNumberFormat="1" applyFont="1" applyBorder="1" applyAlignment="1">
      <alignment horizontal="center"/>
    </xf>
    <xf numFmtId="0" fontId="8" fillId="0" borderId="52" xfId="4" applyFont="1" applyBorder="1"/>
    <xf numFmtId="10" fontId="3" fillId="0" borderId="49" xfId="12" applyNumberFormat="1" applyFont="1" applyBorder="1" applyAlignment="1">
      <alignment horizontal="center"/>
    </xf>
    <xf numFmtId="0" fontId="8" fillId="0" borderId="54" xfId="4" applyFont="1" applyBorder="1"/>
    <xf numFmtId="0" fontId="17" fillId="0" borderId="55" xfId="4" applyFont="1" applyBorder="1" applyAlignment="1">
      <alignment horizontal="right"/>
    </xf>
    <xf numFmtId="10" fontId="17" fillId="0" borderId="56" xfId="4" applyNumberFormat="1" applyFont="1" applyBorder="1" applyAlignment="1">
      <alignment horizontal="center"/>
    </xf>
    <xf numFmtId="0" fontId="17" fillId="0" borderId="0" xfId="4" applyFont="1" applyBorder="1" applyAlignment="1">
      <alignment horizontal="right"/>
    </xf>
    <xf numFmtId="10" fontId="17" fillId="0" borderId="22" xfId="4" applyNumberFormat="1" applyFont="1" applyBorder="1" applyAlignment="1">
      <alignment horizontal="center"/>
    </xf>
    <xf numFmtId="0" fontId="27" fillId="13" borderId="50" xfId="4" applyFont="1" applyFill="1" applyBorder="1" applyAlignment="1">
      <alignment horizontal="center"/>
    </xf>
    <xf numFmtId="0" fontId="8" fillId="0" borderId="45" xfId="4" applyFont="1" applyBorder="1"/>
    <xf numFmtId="0" fontId="8" fillId="0" borderId="3" xfId="4" applyFont="1" applyBorder="1"/>
    <xf numFmtId="10" fontId="3" fillId="0" borderId="50" xfId="12" applyNumberFormat="1" applyFont="1" applyBorder="1" applyAlignment="1">
      <alignment horizontal="center"/>
    </xf>
    <xf numFmtId="0" fontId="8" fillId="0" borderId="22" xfId="4" applyFont="1" applyBorder="1" applyAlignment="1">
      <alignment horizontal="center"/>
    </xf>
    <xf numFmtId="10" fontId="27" fillId="13" borderId="50" xfId="12" applyNumberFormat="1" applyFont="1" applyFill="1" applyBorder="1" applyAlignment="1">
      <alignment horizontal="center"/>
    </xf>
    <xf numFmtId="0" fontId="8" fillId="0" borderId="21" xfId="4" applyFont="1" applyBorder="1" applyAlignment="1">
      <alignment horizontal="left"/>
    </xf>
    <xf numFmtId="0" fontId="28" fillId="0" borderId="21" xfId="4" applyFont="1" applyBorder="1" applyAlignment="1">
      <alignment horizontal="left"/>
    </xf>
    <xf numFmtId="0" fontId="28" fillId="0" borderId="0" xfId="4" applyFont="1" applyBorder="1"/>
    <xf numFmtId="10" fontId="28" fillId="0" borderId="22" xfId="12" applyNumberFormat="1" applyFont="1" applyBorder="1" applyAlignment="1">
      <alignment horizontal="center"/>
    </xf>
    <xf numFmtId="0" fontId="8" fillId="0" borderId="57" xfId="4" applyFont="1" applyBorder="1"/>
    <xf numFmtId="0" fontId="17" fillId="0" borderId="6" xfId="4" applyFont="1" applyBorder="1" applyAlignment="1">
      <alignment horizontal="right"/>
    </xf>
    <xf numFmtId="10" fontId="17" fillId="0" borderId="58" xfId="4" applyNumberFormat="1" applyFont="1" applyBorder="1" applyAlignment="1">
      <alignment horizontal="center"/>
    </xf>
    <xf numFmtId="0" fontId="29" fillId="13" borderId="45" xfId="4" applyFont="1" applyFill="1" applyBorder="1" applyAlignment="1">
      <alignment vertical="center"/>
    </xf>
    <xf numFmtId="0" fontId="29" fillId="13" borderId="3" xfId="4" applyFont="1" applyFill="1" applyBorder="1" applyAlignment="1">
      <alignment vertical="center"/>
    </xf>
    <xf numFmtId="10" fontId="11" fillId="13" borderId="50" xfId="2" applyNumberFormat="1" applyFont="1" applyFill="1" applyBorder="1" applyAlignment="1" applyProtection="1">
      <alignment horizontal="left" vertical="center"/>
    </xf>
    <xf numFmtId="0" fontId="8" fillId="0" borderId="6" xfId="4" applyFont="1" applyBorder="1"/>
    <xf numFmtId="10" fontId="3" fillId="0" borderId="58" xfId="12" applyNumberFormat="1" applyFont="1" applyBorder="1" applyAlignment="1">
      <alignment horizontal="center"/>
    </xf>
    <xf numFmtId="0" fontId="31" fillId="0" borderId="21" xfId="4" applyFont="1" applyBorder="1" applyAlignment="1">
      <alignment vertical="center"/>
    </xf>
    <xf numFmtId="0" fontId="31" fillId="0" borderId="0" xfId="4" applyFont="1" applyBorder="1" applyAlignment="1">
      <alignment vertical="center"/>
    </xf>
    <xf numFmtId="0" fontId="8" fillId="0" borderId="22" xfId="4" applyFont="1" applyBorder="1" applyAlignment="1">
      <alignment vertical="center"/>
    </xf>
    <xf numFmtId="0" fontId="8" fillId="0" borderId="52" xfId="4" applyFont="1" applyBorder="1" applyAlignment="1">
      <alignment vertical="center"/>
    </xf>
    <xf numFmtId="0" fontId="31" fillId="0" borderId="21" xfId="4" applyFont="1" applyBorder="1"/>
    <xf numFmtId="0" fontId="8" fillId="0" borderId="22" xfId="4" applyFont="1" applyBorder="1"/>
    <xf numFmtId="0" fontId="34" fillId="0" borderId="21" xfId="4" applyFont="1" applyBorder="1" applyAlignment="1">
      <alignment horizontal="center" vertical="center"/>
    </xf>
    <xf numFmtId="0" fontId="34" fillId="0" borderId="0" xfId="4" applyFont="1" applyBorder="1" applyAlignment="1">
      <alignment horizontal="center" vertical="center"/>
    </xf>
    <xf numFmtId="0" fontId="35" fillId="0" borderId="22" xfId="4" applyFont="1" applyBorder="1" applyAlignment="1">
      <alignment vertical="center"/>
    </xf>
    <xf numFmtId="0" fontId="36" fillId="0" borderId="23" xfId="4" applyFont="1" applyBorder="1"/>
    <xf numFmtId="0" fontId="39" fillId="0" borderId="24" xfId="4" applyFont="1" applyBorder="1" applyAlignment="1">
      <alignment horizontal="center"/>
    </xf>
    <xf numFmtId="0" fontId="39" fillId="0" borderId="26" xfId="4" applyFont="1" applyBorder="1"/>
    <xf numFmtId="0" fontId="36" fillId="0" borderId="0" xfId="4" applyFont="1" applyBorder="1"/>
    <xf numFmtId="0" fontId="39" fillId="0" borderId="0" xfId="4" applyFont="1" applyBorder="1" applyAlignment="1">
      <alignment horizontal="center"/>
    </xf>
    <xf numFmtId="0" fontId="39" fillId="0" borderId="0" xfId="4" applyFont="1" applyBorder="1"/>
    <xf numFmtId="10" fontId="3" fillId="5" borderId="0" xfId="2" applyNumberFormat="1" applyFont="1" applyFill="1" applyBorder="1" applyAlignment="1">
      <alignment vertical="center" wrapText="1"/>
    </xf>
    <xf numFmtId="0" fontId="10" fillId="5" borderId="0" xfId="0" applyNumberFormat="1" applyFont="1" applyFill="1" applyBorder="1" applyAlignment="1">
      <alignment horizontal="center" vertical="center" wrapText="1"/>
    </xf>
    <xf numFmtId="0" fontId="18" fillId="5" borderId="0" xfId="0" applyNumberFormat="1" applyFont="1" applyFill="1" applyBorder="1" applyAlignment="1">
      <alignment horizontal="center" vertical="center" wrapText="1"/>
    </xf>
    <xf numFmtId="43" fontId="9" fillId="0" borderId="0" xfId="3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5" borderId="0" xfId="0" applyNumberFormat="1" applyFont="1" applyFill="1" applyBorder="1" applyAlignment="1">
      <alignment horizontal="center" vertical="center"/>
    </xf>
    <xf numFmtId="0" fontId="18" fillId="5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Border="1" applyAlignment="1">
      <alignment vertical="center" wrapText="1"/>
    </xf>
    <xf numFmtId="168" fontId="3" fillId="0" borderId="0" xfId="0" applyNumberFormat="1" applyFont="1" applyBorder="1" applyAlignment="1">
      <alignment vertical="center" wrapText="1"/>
    </xf>
    <xf numFmtId="0" fontId="7" fillId="0" borderId="11" xfId="0" quotePrefix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7" fontId="40" fillId="0" borderId="11" xfId="0" quotePrefix="1" applyNumberFormat="1" applyFont="1" applyFill="1" applyBorder="1" applyAlignment="1">
      <alignment horizontal="center" vertical="center"/>
    </xf>
    <xf numFmtId="0" fontId="5" fillId="5" borderId="11" xfId="14" applyNumberFormat="1" applyFont="1" applyFill="1" applyBorder="1" applyAlignment="1">
      <alignment horizontal="center" vertical="center" wrapText="1"/>
    </xf>
    <xf numFmtId="43" fontId="41" fillId="0" borderId="11" xfId="3" applyNumberFormat="1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17" fillId="0" borderId="0" xfId="0" applyFont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43" fontId="18" fillId="0" borderId="0" xfId="3" applyFont="1" applyFill="1" applyBorder="1" applyAlignment="1">
      <alignment vertical="center" wrapText="1"/>
    </xf>
    <xf numFmtId="0" fontId="45" fillId="0" borderId="0" xfId="0" applyFont="1" applyFill="1" applyAlignment="1">
      <alignment vertical="center" wrapText="1"/>
    </xf>
    <xf numFmtId="0" fontId="0" fillId="0" borderId="0" xfId="0" applyAlignment="1">
      <alignment wrapText="1"/>
    </xf>
    <xf numFmtId="4" fontId="0" fillId="0" borderId="0" xfId="0" applyNumberFormat="1"/>
    <xf numFmtId="0" fontId="15" fillId="11" borderId="4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3" fontId="3" fillId="0" borderId="4" xfId="3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10" fontId="48" fillId="0" borderId="0" xfId="2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43" fontId="2" fillId="0" borderId="4" xfId="3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43" fontId="3" fillId="5" borderId="0" xfId="3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3" applyFont="1" applyFill="1" applyAlignment="1">
      <alignment horizontal="right" vertical="center" wrapText="1"/>
    </xf>
    <xf numFmtId="0" fontId="8" fillId="5" borderId="32" xfId="4" applyFont="1" applyFill="1" applyBorder="1" applyAlignment="1">
      <alignment horizontal="center" vertical="center"/>
    </xf>
    <xf numFmtId="0" fontId="8" fillId="6" borderId="0" xfId="4" applyFont="1" applyFill="1"/>
    <xf numFmtId="0" fontId="50" fillId="16" borderId="62" xfId="17" applyFont="1" applyFill="1" applyBorder="1" applyAlignment="1">
      <alignment horizontal="left" vertical="top" wrapText="1"/>
    </xf>
    <xf numFmtId="0" fontId="50" fillId="16" borderId="62" xfId="17" applyFont="1" applyFill="1" applyBorder="1" applyAlignment="1">
      <alignment horizontal="right" vertical="top" wrapText="1"/>
    </xf>
    <xf numFmtId="0" fontId="50" fillId="16" borderId="62" xfId="17" applyFont="1" applyFill="1" applyBorder="1" applyAlignment="1">
      <alignment horizontal="center" vertical="top" wrapText="1"/>
    </xf>
    <xf numFmtId="0" fontId="51" fillId="17" borderId="62" xfId="17" applyFont="1" applyFill="1" applyBorder="1" applyAlignment="1">
      <alignment horizontal="left" vertical="top" wrapText="1"/>
    </xf>
    <xf numFmtId="0" fontId="51" fillId="17" borderId="62" xfId="17" applyFont="1" applyFill="1" applyBorder="1" applyAlignment="1">
      <alignment horizontal="right" vertical="top" wrapText="1"/>
    </xf>
    <xf numFmtId="0" fontId="51" fillId="17" borderId="62" xfId="17" applyFont="1" applyFill="1" applyBorder="1" applyAlignment="1">
      <alignment horizontal="center" vertical="top" wrapText="1"/>
    </xf>
    <xf numFmtId="0" fontId="51" fillId="18" borderId="62" xfId="17" applyFont="1" applyFill="1" applyBorder="1" applyAlignment="1">
      <alignment horizontal="left" vertical="top" wrapText="1"/>
    </xf>
    <xf numFmtId="0" fontId="51" fillId="18" borderId="62" xfId="17" applyFont="1" applyFill="1" applyBorder="1" applyAlignment="1">
      <alignment horizontal="right" vertical="top" wrapText="1"/>
    </xf>
    <xf numFmtId="0" fontId="51" fillId="18" borderId="62" xfId="17" applyFont="1" applyFill="1" applyBorder="1" applyAlignment="1">
      <alignment horizontal="center" vertical="top" wrapText="1"/>
    </xf>
    <xf numFmtId="0" fontId="51" fillId="17" borderId="63" xfId="17" applyFont="1" applyFill="1" applyBorder="1" applyAlignment="1">
      <alignment horizontal="left" vertical="top" wrapText="1"/>
    </xf>
    <xf numFmtId="0" fontId="51" fillId="19" borderId="62" xfId="17" applyFont="1" applyFill="1" applyBorder="1" applyAlignment="1">
      <alignment horizontal="left" vertical="top" wrapText="1"/>
    </xf>
    <xf numFmtId="0" fontId="51" fillId="19" borderId="62" xfId="17" applyFont="1" applyFill="1" applyBorder="1" applyAlignment="1">
      <alignment horizontal="right" vertical="top" wrapText="1"/>
    </xf>
    <xf numFmtId="0" fontId="51" fillId="19" borderId="62" xfId="17" applyFont="1" applyFill="1" applyBorder="1" applyAlignment="1">
      <alignment horizontal="center" vertical="top" wrapText="1"/>
    </xf>
    <xf numFmtId="0" fontId="53" fillId="16" borderId="39" xfId="0" applyFont="1" applyFill="1" applyBorder="1" applyAlignment="1">
      <alignment horizontal="left" vertical="top" wrapText="1"/>
    </xf>
    <xf numFmtId="0" fontId="51" fillId="16" borderId="40" xfId="0" applyFont="1" applyFill="1" applyBorder="1" applyAlignment="1">
      <alignment horizontal="left" vertical="top" wrapText="1"/>
    </xf>
    <xf numFmtId="0" fontId="53" fillId="16" borderId="41" xfId="0" applyFont="1" applyFill="1" applyBorder="1" applyAlignment="1">
      <alignment horizontal="center" vertical="top" wrapText="1"/>
    </xf>
    <xf numFmtId="0" fontId="53" fillId="16" borderId="32" xfId="0" applyFont="1" applyFill="1" applyBorder="1" applyAlignment="1">
      <alignment horizontal="left" vertical="top" wrapText="1"/>
    </xf>
    <xf numFmtId="0" fontId="51" fillId="16" borderId="11" xfId="0" applyFont="1" applyFill="1" applyBorder="1" applyAlignment="1">
      <alignment horizontal="left" vertical="top" wrapText="1"/>
    </xf>
    <xf numFmtId="0" fontId="53" fillId="16" borderId="34" xfId="0" applyFont="1" applyFill="1" applyBorder="1" applyAlignment="1">
      <alignment horizontal="left" vertical="top" wrapText="1"/>
    </xf>
    <xf numFmtId="0" fontId="51" fillId="16" borderId="25" xfId="0" applyFont="1" applyFill="1" applyBorder="1" applyAlignment="1">
      <alignment horizontal="left" vertical="top" wrapText="1"/>
    </xf>
    <xf numFmtId="0" fontId="53" fillId="5" borderId="39" xfId="0" applyFont="1" applyFill="1" applyBorder="1" applyAlignment="1">
      <alignment horizontal="left" vertical="top" wrapText="1"/>
    </xf>
    <xf numFmtId="0" fontId="51" fillId="5" borderId="40" xfId="0" applyFont="1" applyFill="1" applyBorder="1" applyAlignment="1">
      <alignment horizontal="left" vertical="top" wrapText="1"/>
    </xf>
    <xf numFmtId="0" fontId="53" fillId="5" borderId="41" xfId="0" applyFont="1" applyFill="1" applyBorder="1" applyAlignment="1">
      <alignment horizontal="center" vertical="top" wrapText="1"/>
    </xf>
    <xf numFmtId="0" fontId="53" fillId="5" borderId="32" xfId="0" applyFont="1" applyFill="1" applyBorder="1" applyAlignment="1">
      <alignment horizontal="left" vertical="top" wrapText="1"/>
    </xf>
    <xf numFmtId="0" fontId="51" fillId="5" borderId="11" xfId="0" applyFont="1" applyFill="1" applyBorder="1" applyAlignment="1">
      <alignment horizontal="left" vertical="top" wrapText="1"/>
    </xf>
    <xf numFmtId="0" fontId="53" fillId="5" borderId="34" xfId="0" applyFont="1" applyFill="1" applyBorder="1" applyAlignment="1">
      <alignment horizontal="left" vertical="top" wrapText="1"/>
    </xf>
    <xf numFmtId="0" fontId="51" fillId="5" borderId="25" xfId="0" applyFont="1" applyFill="1" applyBorder="1" applyAlignment="1">
      <alignment horizontal="left" vertical="top" wrapText="1"/>
    </xf>
    <xf numFmtId="0" fontId="51" fillId="16" borderId="66" xfId="0" applyFont="1" applyFill="1" applyBorder="1" applyAlignment="1">
      <alignment horizontal="left" vertical="top" wrapText="1"/>
    </xf>
    <xf numFmtId="0" fontId="53" fillId="0" borderId="39" xfId="0" applyFont="1" applyFill="1" applyBorder="1" applyAlignment="1">
      <alignment horizontal="left" vertical="top" wrapText="1"/>
    </xf>
    <xf numFmtId="0" fontId="51" fillId="0" borderId="40" xfId="0" applyFont="1" applyFill="1" applyBorder="1" applyAlignment="1">
      <alignment horizontal="left" vertical="top" wrapText="1"/>
    </xf>
    <xf numFmtId="0" fontId="53" fillId="0" borderId="41" xfId="0" applyFont="1" applyFill="1" applyBorder="1" applyAlignment="1">
      <alignment horizontal="center" vertical="top" wrapText="1"/>
    </xf>
    <xf numFmtId="0" fontId="53" fillId="0" borderId="32" xfId="0" applyFont="1" applyFill="1" applyBorder="1" applyAlignment="1">
      <alignment horizontal="left" vertical="top" wrapText="1"/>
    </xf>
    <xf numFmtId="0" fontId="51" fillId="0" borderId="11" xfId="0" applyFont="1" applyFill="1" applyBorder="1" applyAlignment="1">
      <alignment horizontal="left" vertical="top" wrapText="1"/>
    </xf>
    <xf numFmtId="0" fontId="53" fillId="0" borderId="34" xfId="0" applyFont="1" applyFill="1" applyBorder="1" applyAlignment="1">
      <alignment horizontal="left" vertical="top" wrapText="1"/>
    </xf>
    <xf numFmtId="0" fontId="51" fillId="0" borderId="25" xfId="0" applyFont="1" applyFill="1" applyBorder="1" applyAlignment="1">
      <alignment horizontal="left" vertical="top" wrapText="1"/>
    </xf>
    <xf numFmtId="0" fontId="51" fillId="17" borderId="62" xfId="0" applyFont="1" applyFill="1" applyBorder="1" applyAlignment="1">
      <alignment horizontal="left" vertical="top" wrapText="1"/>
    </xf>
    <xf numFmtId="0" fontId="51" fillId="17" borderId="62" xfId="0" applyFont="1" applyFill="1" applyBorder="1" applyAlignment="1">
      <alignment horizontal="right" vertical="top" wrapText="1"/>
    </xf>
    <xf numFmtId="0" fontId="51" fillId="17" borderId="62" xfId="0" applyFont="1" applyFill="1" applyBorder="1" applyAlignment="1">
      <alignment horizontal="center" vertical="top" wrapText="1"/>
    </xf>
    <xf numFmtId="0" fontId="50" fillId="16" borderId="68" xfId="17" applyFont="1" applyFill="1" applyBorder="1" applyAlignment="1">
      <alignment horizontal="left" vertical="top" wrapText="1"/>
    </xf>
    <xf numFmtId="0" fontId="50" fillId="16" borderId="68" xfId="17" applyFont="1" applyFill="1" applyBorder="1" applyAlignment="1">
      <alignment horizontal="right" vertical="top" wrapText="1"/>
    </xf>
    <xf numFmtId="0" fontId="50" fillId="16" borderId="68" xfId="17" applyFont="1" applyFill="1" applyBorder="1" applyAlignment="1">
      <alignment horizontal="center" vertical="top" wrapText="1"/>
    </xf>
    <xf numFmtId="0" fontId="51" fillId="19" borderId="67" xfId="0" applyFont="1" applyFill="1" applyBorder="1" applyAlignment="1">
      <alignment horizontal="left" vertical="top" wrapText="1"/>
    </xf>
    <xf numFmtId="0" fontId="51" fillId="19" borderId="67" xfId="0" applyFont="1" applyFill="1" applyBorder="1" applyAlignment="1">
      <alignment horizontal="right" vertical="top" wrapText="1"/>
    </xf>
    <xf numFmtId="0" fontId="51" fillId="19" borderId="67" xfId="0" applyFont="1" applyFill="1" applyBorder="1" applyAlignment="1">
      <alignment horizontal="center" vertical="top" wrapText="1"/>
    </xf>
    <xf numFmtId="0" fontId="16" fillId="0" borderId="0" xfId="0" applyFont="1" applyBorder="1"/>
    <xf numFmtId="0" fontId="54" fillId="7" borderId="24" xfId="0" applyFont="1" applyFill="1" applyBorder="1" applyAlignment="1">
      <alignment horizontal="center" vertical="center" wrapText="1"/>
    </xf>
    <xf numFmtId="0" fontId="54" fillId="7" borderId="26" xfId="0" applyFont="1" applyFill="1" applyBorder="1" applyAlignment="1">
      <alignment horizontal="center" vertical="center" wrapText="1"/>
    </xf>
    <xf numFmtId="0" fontId="56" fillId="0" borderId="21" xfId="0" applyFont="1" applyBorder="1" applyAlignment="1">
      <alignment horizontal="center" vertical="center"/>
    </xf>
    <xf numFmtId="0" fontId="56" fillId="0" borderId="0" xfId="0" applyFont="1" applyBorder="1" applyAlignment="1">
      <alignment vertical="center" wrapText="1"/>
    </xf>
    <xf numFmtId="10" fontId="56" fillId="0" borderId="0" xfId="0" applyNumberFormat="1" applyFont="1" applyBorder="1" applyAlignment="1">
      <alignment horizontal="center" vertical="center"/>
    </xf>
    <xf numFmtId="10" fontId="56" fillId="0" borderId="22" xfId="0" applyNumberFormat="1" applyFont="1" applyBorder="1" applyAlignment="1">
      <alignment horizontal="center" vertical="center"/>
    </xf>
    <xf numFmtId="0" fontId="55" fillId="0" borderId="52" xfId="0" applyFont="1" applyBorder="1" applyAlignment="1">
      <alignment horizontal="center" vertical="center"/>
    </xf>
    <xf numFmtId="0" fontId="55" fillId="0" borderId="5" xfId="0" applyFont="1" applyBorder="1" applyAlignment="1">
      <alignment horizontal="center" vertical="center" wrapText="1"/>
    </xf>
    <xf numFmtId="10" fontId="55" fillId="0" borderId="5" xfId="0" applyNumberFormat="1" applyFont="1" applyBorder="1" applyAlignment="1">
      <alignment horizontal="center" vertical="center"/>
    </xf>
    <xf numFmtId="10" fontId="55" fillId="0" borderId="49" xfId="0" applyNumberFormat="1" applyFont="1" applyBorder="1" applyAlignment="1">
      <alignment horizontal="center" vertical="center"/>
    </xf>
    <xf numFmtId="0" fontId="56" fillId="0" borderId="22" xfId="0" applyFont="1" applyBorder="1" applyAlignment="1">
      <alignment horizontal="center" vertical="center"/>
    </xf>
    <xf numFmtId="10" fontId="54" fillId="7" borderId="24" xfId="0" applyNumberFormat="1" applyFont="1" applyFill="1" applyBorder="1" applyAlignment="1">
      <alignment horizontal="center" vertical="center"/>
    </xf>
    <xf numFmtId="10" fontId="54" fillId="7" borderId="26" xfId="0" applyNumberFormat="1" applyFont="1" applyFill="1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0" fontId="41" fillId="0" borderId="11" xfId="0" applyFont="1" applyBorder="1" applyAlignment="1">
      <alignment vertical="center" wrapText="1"/>
    </xf>
    <xf numFmtId="0" fontId="57" fillId="0" borderId="11" xfId="0" quotePrefix="1" applyFont="1" applyBorder="1" applyAlignment="1">
      <alignment horizontal="center" vertical="center"/>
    </xf>
    <xf numFmtId="0" fontId="41" fillId="0" borderId="11" xfId="0" quotePrefix="1" applyFont="1" applyBorder="1" applyAlignment="1">
      <alignment horizontal="center" vertical="center"/>
    </xf>
    <xf numFmtId="17" fontId="41" fillId="5" borderId="11" xfId="0" quotePrefix="1" applyNumberFormat="1" applyFont="1" applyFill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17" fontId="41" fillId="0" borderId="11" xfId="0" quotePrefix="1" applyNumberFormat="1" applyFont="1" applyBorder="1" applyAlignment="1">
      <alignment horizontal="center" vertical="center"/>
    </xf>
    <xf numFmtId="43" fontId="10" fillId="0" borderId="4" xfId="3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49" fillId="0" borderId="0" xfId="17"/>
    <xf numFmtId="0" fontId="2" fillId="0" borderId="5" xfId="0" applyFont="1" applyBorder="1" applyAlignment="1">
      <alignment horizontal="center" vertical="center" wrapText="1"/>
    </xf>
    <xf numFmtId="2" fontId="25" fillId="5" borderId="8" xfId="0" applyNumberFormat="1" applyFont="1" applyFill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/>
    </xf>
    <xf numFmtId="43" fontId="7" fillId="0" borderId="11" xfId="3" applyNumberFormat="1" applyFont="1" applyBorder="1" applyAlignment="1">
      <alignment horizontal="right" vertical="center"/>
    </xf>
    <xf numFmtId="17" fontId="56" fillId="5" borderId="11" xfId="0" quotePrefix="1" applyNumberFormat="1" applyFont="1" applyFill="1" applyBorder="1" applyAlignment="1">
      <alignment horizontal="center" vertical="center"/>
    </xf>
    <xf numFmtId="0" fontId="7" fillId="5" borderId="11" xfId="0" quotePrefix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vertical="center" wrapText="1"/>
    </xf>
    <xf numFmtId="17" fontId="40" fillId="5" borderId="11" xfId="0" quotePrefix="1" applyNumberFormat="1" applyFont="1" applyFill="1" applyBorder="1" applyAlignment="1">
      <alignment horizontal="center" vertical="center"/>
    </xf>
    <xf numFmtId="43" fontId="7" fillId="5" borderId="11" xfId="3" applyNumberFormat="1" applyFont="1" applyFill="1" applyBorder="1" applyAlignment="1">
      <alignment horizontal="right" vertical="center"/>
    </xf>
    <xf numFmtId="43" fontId="41" fillId="5" borderId="11" xfId="3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" fontId="56" fillId="0" borderId="11" xfId="0" quotePrefix="1" applyNumberFormat="1" applyFont="1" applyFill="1" applyBorder="1" applyAlignment="1">
      <alignment horizontal="center" vertical="center"/>
    </xf>
    <xf numFmtId="43" fontId="57" fillId="0" borderId="11" xfId="3" applyNumberFormat="1" applyFont="1" applyBorder="1" applyAlignment="1">
      <alignment horizontal="right" vertical="center"/>
    </xf>
    <xf numFmtId="0" fontId="57" fillId="0" borderId="11" xfId="0" applyFont="1" applyBorder="1" applyAlignment="1">
      <alignment vertical="center" wrapText="1"/>
    </xf>
    <xf numFmtId="0" fontId="57" fillId="0" borderId="11" xfId="0" applyFont="1" applyBorder="1" applyAlignment="1">
      <alignment horizontal="center" vertical="center"/>
    </xf>
    <xf numFmtId="17" fontId="41" fillId="0" borderId="11" xfId="0" quotePrefix="1" applyNumberFormat="1" applyFont="1" applyFill="1" applyBorder="1" applyAlignment="1">
      <alignment horizontal="center" vertical="center"/>
    </xf>
    <xf numFmtId="0" fontId="41" fillId="5" borderId="11" xfId="0" quotePrefix="1" applyFont="1" applyFill="1" applyBorder="1" applyAlignment="1">
      <alignment horizontal="center" vertical="center"/>
    </xf>
    <xf numFmtId="0" fontId="41" fillId="5" borderId="11" xfId="0" applyFont="1" applyFill="1" applyBorder="1" applyAlignment="1">
      <alignment vertical="center" wrapText="1"/>
    </xf>
    <xf numFmtId="0" fontId="41" fillId="5" borderId="11" xfId="0" applyFont="1" applyFill="1" applyBorder="1" applyAlignment="1">
      <alignment horizontal="center" vertical="center"/>
    </xf>
    <xf numFmtId="0" fontId="41" fillId="5" borderId="11" xfId="0" applyFont="1" applyFill="1" applyBorder="1" applyAlignment="1">
      <alignment horizontal="center" vertical="center" wrapText="1"/>
    </xf>
    <xf numFmtId="0" fontId="57" fillId="5" borderId="11" xfId="0" applyFont="1" applyFill="1" applyBorder="1" applyAlignment="1">
      <alignment vertical="center" wrapText="1"/>
    </xf>
    <xf numFmtId="0" fontId="57" fillId="5" borderId="11" xfId="0" quotePrefix="1" applyFont="1" applyFill="1" applyBorder="1" applyAlignment="1">
      <alignment horizontal="center" vertical="center"/>
    </xf>
    <xf numFmtId="0" fontId="57" fillId="5" borderId="11" xfId="0" applyFont="1" applyFill="1" applyBorder="1" applyAlignment="1">
      <alignment horizontal="center" vertical="center"/>
    </xf>
    <xf numFmtId="43" fontId="57" fillId="5" borderId="11" xfId="3" applyNumberFormat="1" applyFont="1" applyFill="1" applyBorder="1" applyAlignment="1">
      <alignment horizontal="right" vertical="center"/>
    </xf>
    <xf numFmtId="43" fontId="56" fillId="0" borderId="11" xfId="3" applyNumberFormat="1" applyFont="1" applyFill="1" applyBorder="1" applyAlignment="1">
      <alignment horizontal="right" vertical="center"/>
    </xf>
    <xf numFmtId="17" fontId="57" fillId="5" borderId="11" xfId="0" quotePrefix="1" applyNumberFormat="1" applyFont="1" applyFill="1" applyBorder="1" applyAlignment="1">
      <alignment horizontal="center" vertical="center"/>
    </xf>
    <xf numFmtId="0" fontId="41" fillId="0" borderId="11" xfId="0" applyFont="1" applyFill="1" applyBorder="1" applyAlignment="1">
      <alignment vertical="center" wrapText="1"/>
    </xf>
    <xf numFmtId="0" fontId="41" fillId="0" borderId="11" xfId="0" quotePrefix="1" applyFont="1" applyFill="1" applyBorder="1" applyAlignment="1">
      <alignment horizontal="center" vertical="center"/>
    </xf>
    <xf numFmtId="17" fontId="57" fillId="0" borderId="11" xfId="0" quotePrefix="1" applyNumberFormat="1" applyFont="1" applyBorder="1" applyAlignment="1">
      <alignment horizontal="center" vertical="center"/>
    </xf>
    <xf numFmtId="17" fontId="57" fillId="0" borderId="11" xfId="0" quotePrefix="1" applyNumberFormat="1" applyFont="1" applyFill="1" applyBorder="1" applyAlignment="1">
      <alignment horizontal="center" vertical="center"/>
    </xf>
    <xf numFmtId="0" fontId="57" fillId="0" borderId="11" xfId="0" applyFont="1" applyFill="1" applyBorder="1" applyAlignment="1">
      <alignment horizontal="center" vertical="center"/>
    </xf>
    <xf numFmtId="0" fontId="41" fillId="0" borderId="11" xfId="0" applyFont="1" applyBorder="1" applyAlignment="1">
      <alignment horizontal="left" vertical="center" wrapText="1"/>
    </xf>
    <xf numFmtId="0" fontId="57" fillId="0" borderId="11" xfId="0" applyFont="1" applyFill="1" applyBorder="1" applyAlignment="1">
      <alignment vertical="center" wrapText="1"/>
    </xf>
    <xf numFmtId="0" fontId="57" fillId="0" borderId="11" xfId="0" quotePrefix="1" applyFont="1" applyFill="1" applyBorder="1" applyAlignment="1">
      <alignment horizontal="center" vertical="center"/>
    </xf>
    <xf numFmtId="0" fontId="5" fillId="0" borderId="11" xfId="14" applyFont="1" applyBorder="1" applyAlignment="1">
      <alignment horizontal="left" vertical="center" wrapText="1"/>
    </xf>
    <xf numFmtId="0" fontId="5" fillId="0" borderId="11" xfId="14" quotePrefix="1" applyFont="1" applyBorder="1" applyAlignment="1">
      <alignment horizontal="left" vertical="center" wrapText="1"/>
    </xf>
    <xf numFmtId="0" fontId="57" fillId="0" borderId="11" xfId="0" quotePrefix="1" applyFont="1" applyFill="1" applyBorder="1" applyAlignment="1">
      <alignment horizontal="left" vertical="center"/>
    </xf>
    <xf numFmtId="0" fontId="5" fillId="0" borderId="11" xfId="14" applyNumberFormat="1" applyFont="1" applyBorder="1" applyAlignment="1">
      <alignment horizontal="left" vertical="center" wrapText="1"/>
    </xf>
    <xf numFmtId="43" fontId="41" fillId="0" borderId="11" xfId="3" applyNumberFormat="1" applyFont="1" applyFill="1" applyBorder="1" applyAlignment="1">
      <alignment horizontal="left" vertical="center"/>
    </xf>
    <xf numFmtId="0" fontId="41" fillId="0" borderId="12" xfId="0" applyFont="1" applyBorder="1" applyAlignment="1">
      <alignment horizontal="left" vertical="center" wrapText="1"/>
    </xf>
    <xf numFmtId="0" fontId="57" fillId="0" borderId="12" xfId="0" applyFont="1" applyFill="1" applyBorder="1" applyAlignment="1">
      <alignment vertical="center" wrapText="1"/>
    </xf>
    <xf numFmtId="0" fontId="57" fillId="0" borderId="12" xfId="0" quotePrefix="1" applyFont="1" applyFill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43" fontId="41" fillId="0" borderId="70" xfId="3" applyNumberFormat="1" applyFont="1" applyBorder="1" applyAlignment="1">
      <alignment horizontal="right" vertical="center"/>
    </xf>
    <xf numFmtId="43" fontId="41" fillId="0" borderId="11" xfId="3" applyNumberFormat="1" applyFont="1" applyFill="1" applyBorder="1" applyAlignment="1">
      <alignment horizontal="right" vertical="center"/>
    </xf>
    <xf numFmtId="0" fontId="41" fillId="0" borderId="40" xfId="0" quotePrefix="1" applyFont="1" applyFill="1" applyBorder="1" applyAlignment="1">
      <alignment horizontal="center" vertical="center"/>
    </xf>
    <xf numFmtId="0" fontId="41" fillId="0" borderId="40" xfId="0" applyFont="1" applyFill="1" applyBorder="1" applyAlignment="1">
      <alignment horizontal="center" vertical="center" wrapText="1"/>
    </xf>
    <xf numFmtId="17" fontId="41" fillId="0" borderId="40" xfId="0" quotePrefix="1" applyNumberFormat="1" applyFont="1" applyFill="1" applyBorder="1" applyAlignment="1">
      <alignment horizontal="center" vertical="center"/>
    </xf>
    <xf numFmtId="0" fontId="41" fillId="0" borderId="40" xfId="0" applyFont="1" applyFill="1" applyBorder="1" applyAlignment="1">
      <alignment horizontal="center" vertical="center"/>
    </xf>
    <xf numFmtId="43" fontId="41" fillId="0" borderId="40" xfId="3" applyNumberFormat="1" applyFont="1" applyFill="1" applyBorder="1" applyAlignment="1">
      <alignment horizontal="right" vertical="center"/>
    </xf>
    <xf numFmtId="0" fontId="41" fillId="0" borderId="11" xfId="0" applyFont="1" applyFill="1" applyBorder="1" applyAlignment="1">
      <alignment horizontal="center" vertical="center" wrapText="1"/>
    </xf>
    <xf numFmtId="0" fontId="41" fillId="0" borderId="11" xfId="0" applyFont="1" applyFill="1" applyBorder="1" applyAlignment="1">
      <alignment horizontal="center" vertical="center"/>
    </xf>
    <xf numFmtId="0" fontId="41" fillId="0" borderId="25" xfId="0" quotePrefix="1" applyFont="1" applyFill="1" applyBorder="1" applyAlignment="1">
      <alignment horizontal="center" vertical="center"/>
    </xf>
    <xf numFmtId="0" fontId="41" fillId="0" borderId="25" xfId="0" applyFont="1" applyFill="1" applyBorder="1" applyAlignment="1">
      <alignment horizontal="center" vertical="center" wrapText="1"/>
    </xf>
    <xf numFmtId="17" fontId="41" fillId="0" borderId="25" xfId="0" quotePrefix="1" applyNumberFormat="1" applyFont="1" applyFill="1" applyBorder="1" applyAlignment="1">
      <alignment horizontal="center" vertical="center"/>
    </xf>
    <xf numFmtId="0" fontId="41" fillId="0" borderId="25" xfId="0" applyFont="1" applyFill="1" applyBorder="1" applyAlignment="1">
      <alignment horizontal="center" vertical="center"/>
    </xf>
    <xf numFmtId="43" fontId="41" fillId="0" borderId="25" xfId="3" applyNumberFormat="1" applyFont="1" applyFill="1" applyBorder="1" applyAlignment="1">
      <alignment horizontal="right" vertical="center"/>
    </xf>
    <xf numFmtId="0" fontId="41" fillId="0" borderId="11" xfId="0" quotePrefix="1" applyNumberFormat="1" applyFont="1" applyBorder="1" applyAlignment="1">
      <alignment horizontal="center" vertical="center"/>
    </xf>
    <xf numFmtId="0" fontId="56" fillId="0" borderId="11" xfId="0" quotePrefix="1" applyFont="1" applyFill="1" applyBorder="1" applyAlignment="1">
      <alignment horizontal="center" vertical="center"/>
    </xf>
    <xf numFmtId="0" fontId="56" fillId="0" borderId="11" xfId="0" applyFont="1" applyFill="1" applyBorder="1" applyAlignment="1">
      <alignment vertical="center" wrapText="1"/>
    </xf>
    <xf numFmtId="0" fontId="56" fillId="0" borderId="11" xfId="0" applyFont="1" applyFill="1" applyBorder="1" applyAlignment="1">
      <alignment horizontal="center" vertical="center"/>
    </xf>
    <xf numFmtId="0" fontId="41" fillId="0" borderId="11" xfId="0" quotePrefix="1" applyFont="1" applyBorder="1" applyAlignment="1">
      <alignment horizontal="center" vertical="center" wrapText="1"/>
    </xf>
    <xf numFmtId="0" fontId="56" fillId="0" borderId="11" xfId="0" applyFont="1" applyFill="1" applyBorder="1" applyAlignment="1">
      <alignment horizontal="center" vertical="center" wrapText="1"/>
    </xf>
    <xf numFmtId="0" fontId="41" fillId="0" borderId="40" xfId="0" quotePrefix="1" applyFont="1" applyBorder="1" applyAlignment="1">
      <alignment horizontal="center" vertical="center"/>
    </xf>
    <xf numFmtId="0" fontId="41" fillId="0" borderId="40" xfId="0" applyFont="1" applyBorder="1" applyAlignment="1">
      <alignment vertical="center" wrapText="1"/>
    </xf>
    <xf numFmtId="17" fontId="41" fillId="0" borderId="40" xfId="0" quotePrefix="1" applyNumberFormat="1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43" fontId="41" fillId="0" borderId="40" xfId="3" applyNumberFormat="1" applyFont="1" applyBorder="1" applyAlignment="1">
      <alignment horizontal="right" vertical="center"/>
    </xf>
    <xf numFmtId="0" fontId="41" fillId="0" borderId="25" xfId="0" quotePrefix="1" applyFont="1" applyBorder="1" applyAlignment="1">
      <alignment horizontal="center" vertical="center"/>
    </xf>
    <xf numFmtId="0" fontId="41" fillId="0" borderId="25" xfId="0" applyFont="1" applyBorder="1" applyAlignment="1">
      <alignment vertical="center" wrapText="1"/>
    </xf>
    <xf numFmtId="17" fontId="41" fillId="0" borderId="25" xfId="0" quotePrefix="1" applyNumberFormat="1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43" fontId="41" fillId="0" borderId="25" xfId="3" applyNumberFormat="1" applyFont="1" applyBorder="1" applyAlignment="1">
      <alignment horizontal="right" vertical="center"/>
    </xf>
    <xf numFmtId="0" fontId="41" fillId="5" borderId="11" xfId="0" applyFont="1" applyFill="1" applyBorder="1" applyAlignment="1">
      <alignment horizontal="left" vertical="center" wrapText="1"/>
    </xf>
    <xf numFmtId="3" fontId="57" fillId="5" borderId="11" xfId="0" applyNumberFormat="1" applyFont="1" applyFill="1" applyBorder="1" applyAlignment="1">
      <alignment vertical="center" wrapText="1"/>
    </xf>
    <xf numFmtId="0" fontId="51" fillId="17" borderId="63" xfId="17" applyFont="1" applyFill="1" applyBorder="1" applyAlignment="1">
      <alignment horizontal="left" vertical="top"/>
    </xf>
    <xf numFmtId="0" fontId="49" fillId="0" borderId="0" xfId="17" applyAlignment="1"/>
    <xf numFmtId="0" fontId="0" fillId="5" borderId="0" xfId="0" applyFill="1"/>
    <xf numFmtId="0" fontId="51" fillId="18" borderId="62" xfId="0" applyFont="1" applyFill="1" applyBorder="1" applyAlignment="1">
      <alignment horizontal="left" vertical="top" wrapText="1"/>
    </xf>
    <xf numFmtId="0" fontId="51" fillId="18" borderId="62" xfId="0" applyFont="1" applyFill="1" applyBorder="1" applyAlignment="1">
      <alignment horizontal="right" vertical="top" wrapText="1"/>
    </xf>
    <xf numFmtId="0" fontId="51" fillId="18" borderId="62" xfId="0" applyFont="1" applyFill="1" applyBorder="1" applyAlignment="1">
      <alignment horizontal="center" vertical="top" wrapText="1"/>
    </xf>
    <xf numFmtId="0" fontId="51" fillId="19" borderId="62" xfId="0" applyFont="1" applyFill="1" applyBorder="1" applyAlignment="1">
      <alignment horizontal="left" vertical="top" wrapText="1"/>
    </xf>
    <xf numFmtId="0" fontId="51" fillId="19" borderId="62" xfId="0" applyFont="1" applyFill="1" applyBorder="1" applyAlignment="1">
      <alignment horizontal="right" vertical="top" wrapText="1"/>
    </xf>
    <xf numFmtId="0" fontId="51" fillId="19" borderId="62" xfId="0" applyFont="1" applyFill="1" applyBorder="1" applyAlignment="1">
      <alignment horizontal="center" vertical="top" wrapText="1"/>
    </xf>
    <xf numFmtId="0" fontId="50" fillId="16" borderId="68" xfId="0" applyFont="1" applyFill="1" applyBorder="1" applyAlignment="1">
      <alignment horizontal="left" vertical="top" wrapText="1"/>
    </xf>
    <xf numFmtId="0" fontId="50" fillId="16" borderId="68" xfId="0" applyFont="1" applyFill="1" applyBorder="1" applyAlignment="1">
      <alignment horizontal="right" vertical="top" wrapText="1"/>
    </xf>
    <xf numFmtId="0" fontId="50" fillId="16" borderId="68" xfId="0" applyFont="1" applyFill="1" applyBorder="1" applyAlignment="1">
      <alignment horizontal="center" vertical="top" wrapText="1"/>
    </xf>
    <xf numFmtId="0" fontId="51" fillId="19" borderId="67" xfId="17" applyFont="1" applyFill="1" applyBorder="1" applyAlignment="1">
      <alignment horizontal="left" vertical="top" wrapText="1"/>
    </xf>
    <xf numFmtId="0" fontId="51" fillId="19" borderId="67" xfId="17" applyFont="1" applyFill="1" applyBorder="1" applyAlignment="1">
      <alignment horizontal="right" vertical="top" wrapText="1"/>
    </xf>
    <xf numFmtId="0" fontId="51" fillId="19" borderId="67" xfId="17" applyFont="1" applyFill="1" applyBorder="1" applyAlignment="1">
      <alignment horizontal="center" vertical="top" wrapText="1"/>
    </xf>
    <xf numFmtId="44" fontId="3" fillId="0" borderId="0" xfId="0" applyNumberFormat="1" applyFont="1" applyBorder="1" applyAlignment="1">
      <alignment vertical="center" wrapText="1"/>
    </xf>
    <xf numFmtId="0" fontId="8" fillId="3" borderId="0" xfId="4" applyFont="1" applyFill="1" applyAlignment="1">
      <alignment vertical="center"/>
    </xf>
    <xf numFmtId="0" fontId="8" fillId="3" borderId="0" xfId="4" applyFont="1" applyFill="1"/>
    <xf numFmtId="0" fontId="4" fillId="3" borderId="32" xfId="4" applyFont="1" applyFill="1" applyBorder="1" applyAlignment="1">
      <alignment horizontal="center" vertical="center"/>
    </xf>
    <xf numFmtId="0" fontId="4" fillId="3" borderId="11" xfId="4" applyFont="1" applyFill="1" applyBorder="1" applyAlignment="1">
      <alignment horizontal="center" vertical="center"/>
    </xf>
    <xf numFmtId="0" fontId="4" fillId="3" borderId="11" xfId="4" applyFont="1" applyFill="1" applyBorder="1" applyAlignment="1">
      <alignment horizontal="center" vertical="center" wrapText="1"/>
    </xf>
    <xf numFmtId="0" fontId="8" fillId="5" borderId="11" xfId="4" applyFont="1" applyFill="1" applyBorder="1" applyAlignment="1">
      <alignment horizontal="left" vertical="center"/>
    </xf>
    <xf numFmtId="0" fontId="8" fillId="5" borderId="11" xfId="4" applyFont="1" applyFill="1" applyBorder="1" applyAlignment="1">
      <alignment vertical="center" wrapText="1"/>
    </xf>
    <xf numFmtId="0" fontId="8" fillId="5" borderId="11" xfId="4" applyFont="1" applyFill="1" applyBorder="1" applyAlignment="1">
      <alignment horizontal="center" vertical="center"/>
    </xf>
    <xf numFmtId="2" fontId="8" fillId="5" borderId="11" xfId="4" applyNumberFormat="1" applyFont="1" applyFill="1" applyBorder="1" applyAlignment="1">
      <alignment horizontal="center" vertical="center"/>
    </xf>
    <xf numFmtId="2" fontId="8" fillId="0" borderId="33" xfId="4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4" applyFont="1" applyFill="1"/>
    <xf numFmtId="2" fontId="8" fillId="3" borderId="33" xfId="4" applyNumberFormat="1" applyFont="1" applyFill="1" applyBorder="1" applyAlignment="1">
      <alignment vertical="center"/>
    </xf>
    <xf numFmtId="0" fontId="3" fillId="5" borderId="11" xfId="0" applyFont="1" applyFill="1" applyBorder="1" applyAlignment="1">
      <alignment horizontal="center" vertical="center" wrapText="1"/>
    </xf>
    <xf numFmtId="0" fontId="8" fillId="0" borderId="0" xfId="4" applyFont="1"/>
    <xf numFmtId="2" fontId="8" fillId="21" borderId="0" xfId="0" applyNumberFormat="1" applyFont="1" applyFill="1" applyBorder="1" applyAlignment="1">
      <alignment horizontal="left" vertical="center"/>
    </xf>
    <xf numFmtId="0" fontId="8" fillId="5" borderId="11" xfId="4" applyFont="1" applyFill="1" applyBorder="1" applyAlignment="1">
      <alignment horizontal="left" vertical="center" wrapText="1"/>
    </xf>
    <xf numFmtId="0" fontId="8" fillId="5" borderId="11" xfId="4" applyFont="1" applyFill="1" applyBorder="1" applyAlignment="1">
      <alignment vertical="center"/>
    </xf>
    <xf numFmtId="0" fontId="59" fillId="3" borderId="0" xfId="4" applyFont="1" applyFill="1" applyAlignment="1">
      <alignment horizontal="center" vertical="center"/>
    </xf>
    <xf numFmtId="0" fontId="8" fillId="3" borderId="0" xfId="4" applyFont="1" applyFill="1" applyAlignment="1">
      <alignment horizontal="center" vertical="center"/>
    </xf>
    <xf numFmtId="0" fontId="8" fillId="0" borderId="32" xfId="4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left" vertical="center"/>
    </xf>
    <xf numFmtId="0" fontId="8" fillId="0" borderId="11" xfId="4" applyFont="1" applyFill="1" applyBorder="1" applyAlignment="1">
      <alignment vertical="center" wrapText="1"/>
    </xf>
    <xf numFmtId="0" fontId="3" fillId="0" borderId="11" xfId="4" applyFont="1" applyFill="1" applyBorder="1" applyAlignment="1">
      <alignment horizontal="center" vertical="center"/>
    </xf>
    <xf numFmtId="2" fontId="8" fillId="0" borderId="11" xfId="4" applyNumberFormat="1" applyFont="1" applyFill="1" applyBorder="1" applyAlignment="1">
      <alignment horizontal="center" vertical="center"/>
    </xf>
    <xf numFmtId="0" fontId="8" fillId="0" borderId="0" xfId="4" applyFont="1" applyFill="1" applyAlignment="1">
      <alignment vertical="center"/>
    </xf>
    <xf numFmtId="164" fontId="8" fillId="0" borderId="11" xfId="5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8" fillId="22" borderId="0" xfId="4" applyFont="1" applyFill="1" applyBorder="1"/>
    <xf numFmtId="0" fontId="8" fillId="0" borderId="11" xfId="8" quotePrefix="1" applyFont="1" applyFill="1" applyBorder="1" applyAlignment="1">
      <alignment horizontal="center" vertical="center"/>
    </xf>
    <xf numFmtId="0" fontId="8" fillId="0" borderId="11" xfId="4" applyFont="1" applyFill="1" applyBorder="1" applyAlignment="1">
      <alignment horizontal="left" vertical="center" wrapText="1"/>
    </xf>
    <xf numFmtId="0" fontId="8" fillId="0" borderId="11" xfId="4" applyFont="1" applyFill="1" applyBorder="1" applyAlignment="1">
      <alignment horizontal="center" vertical="center"/>
    </xf>
    <xf numFmtId="0" fontId="8" fillId="21" borderId="0" xfId="4" applyFont="1" applyFill="1" applyAlignment="1">
      <alignment vertical="center"/>
    </xf>
    <xf numFmtId="0" fontId="8" fillId="0" borderId="11" xfId="4" applyFont="1" applyFill="1" applyBorder="1"/>
    <xf numFmtId="0" fontId="8" fillId="0" borderId="11" xfId="4" applyFont="1" applyFill="1" applyBorder="1" applyAlignment="1">
      <alignment wrapText="1"/>
    </xf>
    <xf numFmtId="0" fontId="8" fillId="0" borderId="11" xfId="4" applyFont="1" applyFill="1" applyBorder="1" applyAlignment="1">
      <alignment horizontal="center"/>
    </xf>
    <xf numFmtId="2" fontId="8" fillId="3" borderId="0" xfId="4" applyNumberFormat="1" applyFont="1" applyFill="1" applyAlignment="1">
      <alignment vertical="center"/>
    </xf>
    <xf numFmtId="0" fontId="8" fillId="21" borderId="32" xfId="4" applyFont="1" applyFill="1" applyBorder="1" applyAlignment="1">
      <alignment horizontal="center" vertical="center"/>
    </xf>
    <xf numFmtId="0" fontId="8" fillId="21" borderId="11" xfId="4" applyFont="1" applyFill="1" applyBorder="1" applyAlignment="1">
      <alignment horizontal="left" vertical="center"/>
    </xf>
    <xf numFmtId="0" fontId="8" fillId="21" borderId="11" xfId="4" applyFont="1" applyFill="1" applyBorder="1" applyAlignment="1">
      <alignment vertical="center" wrapText="1"/>
    </xf>
    <xf numFmtId="0" fontId="8" fillId="21" borderId="11" xfId="4" applyFont="1" applyFill="1" applyBorder="1" applyAlignment="1">
      <alignment horizontal="center" vertical="center"/>
    </xf>
    <xf numFmtId="0" fontId="8" fillId="21" borderId="33" xfId="4" applyFont="1" applyFill="1" applyBorder="1" applyAlignment="1">
      <alignment horizontal="center" vertical="center"/>
    </xf>
    <xf numFmtId="0" fontId="8" fillId="21" borderId="0" xfId="4" applyFont="1" applyFill="1" applyBorder="1"/>
    <xf numFmtId="0" fontId="8" fillId="21" borderId="0" xfId="4" applyFont="1" applyFill="1"/>
    <xf numFmtId="2" fontId="8" fillId="21" borderId="11" xfId="4" applyNumberFormat="1" applyFont="1" applyFill="1" applyBorder="1" applyAlignment="1">
      <alignment horizontal="center" vertical="center"/>
    </xf>
    <xf numFmtId="2" fontId="8" fillId="21" borderId="33" xfId="4" applyNumberFormat="1" applyFont="1" applyFill="1" applyBorder="1" applyAlignment="1">
      <alignment vertical="center"/>
    </xf>
    <xf numFmtId="2" fontId="8" fillId="21" borderId="0" xfId="4" applyNumberFormat="1" applyFont="1" applyFill="1" applyBorder="1" applyAlignment="1">
      <alignment horizontal="center" vertical="center"/>
    </xf>
    <xf numFmtId="2" fontId="8" fillId="21" borderId="0" xfId="4" applyNumberFormat="1" applyFont="1" applyFill="1" applyBorder="1"/>
    <xf numFmtId="0" fontId="8" fillId="0" borderId="11" xfId="4" quotePrefix="1" applyFont="1" applyFill="1" applyBorder="1" applyAlignment="1">
      <alignment horizontal="center" vertical="center" wrapText="1"/>
    </xf>
    <xf numFmtId="0" fontId="8" fillId="21" borderId="11" xfId="4" quotePrefix="1" applyFont="1" applyFill="1" applyBorder="1" applyAlignment="1">
      <alignment horizontal="center" vertical="center" wrapText="1"/>
    </xf>
    <xf numFmtId="0" fontId="3" fillId="21" borderId="0" xfId="0" applyFont="1" applyFill="1" applyBorder="1" applyAlignment="1">
      <alignment vertical="center" wrapText="1"/>
    </xf>
    <xf numFmtId="0" fontId="8" fillId="23" borderId="0" xfId="4" applyFont="1" applyFill="1"/>
    <xf numFmtId="0" fontId="8" fillId="21" borderId="11" xfId="4" applyFont="1" applyFill="1" applyBorder="1" applyAlignment="1">
      <alignment vertical="center"/>
    </xf>
    <xf numFmtId="0" fontId="3" fillId="21" borderId="11" xfId="0" applyFont="1" applyFill="1" applyBorder="1" applyAlignment="1">
      <alignment wrapText="1"/>
    </xf>
    <xf numFmtId="0" fontId="8" fillId="0" borderId="11" xfId="4" applyFont="1" applyFill="1" applyBorder="1" applyAlignment="1">
      <alignment vertical="center"/>
    </xf>
    <xf numFmtId="0" fontId="8" fillId="21" borderId="11" xfId="4" applyFont="1" applyFill="1" applyBorder="1" applyAlignment="1">
      <alignment horizontal="left" vertical="center" wrapText="1"/>
    </xf>
    <xf numFmtId="0" fontId="8" fillId="21" borderId="11" xfId="4" quotePrefix="1" applyFont="1" applyFill="1" applyBorder="1" applyAlignment="1">
      <alignment horizontal="center" vertical="center"/>
    </xf>
    <xf numFmtId="0" fontId="8" fillId="0" borderId="11" xfId="4" quotePrefix="1" applyFont="1" applyFill="1" applyBorder="1" applyAlignment="1">
      <alignment horizontal="center" vertical="center"/>
    </xf>
    <xf numFmtId="0" fontId="8" fillId="21" borderId="11" xfId="4" applyFont="1" applyFill="1" applyBorder="1" applyAlignment="1">
      <alignment horizontal="center" vertical="center" wrapText="1"/>
    </xf>
    <xf numFmtId="0" fontId="8" fillId="0" borderId="11" xfId="4" applyFont="1" applyFill="1" applyBorder="1" applyAlignment="1">
      <alignment horizontal="center" vertical="center" wrapText="1"/>
    </xf>
    <xf numFmtId="0" fontId="59" fillId="0" borderId="0" xfId="4" applyFont="1" applyFill="1" applyAlignment="1">
      <alignment vertical="center"/>
    </xf>
    <xf numFmtId="165" fontId="8" fillId="21" borderId="33" xfId="4" applyNumberFormat="1" applyFont="1" applyFill="1" applyBorder="1" applyAlignment="1">
      <alignment horizontal="center" vertical="center"/>
    </xf>
    <xf numFmtId="0" fontId="8" fillId="21" borderId="0" xfId="4" applyFont="1" applyFill="1" applyAlignment="1">
      <alignment horizontal="left" vertical="center"/>
    </xf>
    <xf numFmtId="0" fontId="60" fillId="21" borderId="0" xfId="4" applyFont="1" applyFill="1" applyAlignment="1">
      <alignment horizontal="left" vertical="center"/>
    </xf>
    <xf numFmtId="0" fontId="3" fillId="3" borderId="0" xfId="0" applyFont="1" applyFill="1" applyBorder="1" applyAlignment="1">
      <alignment vertical="center" wrapText="1"/>
    </xf>
    <xf numFmtId="2" fontId="8" fillId="0" borderId="11" xfId="4" applyNumberFormat="1" applyFont="1" applyFill="1" applyBorder="1" applyAlignment="1">
      <alignment horizontal="center"/>
    </xf>
    <xf numFmtId="2" fontId="8" fillId="0" borderId="50" xfId="4" applyNumberFormat="1" applyFont="1" applyFill="1" applyBorder="1" applyAlignment="1">
      <alignment vertical="center"/>
    </xf>
    <xf numFmtId="0" fontId="8" fillId="0" borderId="34" xfId="4" applyFont="1" applyFill="1" applyBorder="1" applyAlignment="1">
      <alignment horizontal="center" vertical="center"/>
    </xf>
    <xf numFmtId="0" fontId="8" fillId="0" borderId="25" xfId="4" applyFont="1" applyFill="1" applyBorder="1" applyAlignment="1">
      <alignment horizontal="left" vertical="center"/>
    </xf>
    <xf numFmtId="0" fontId="8" fillId="0" borderId="25" xfId="4" applyFont="1" applyFill="1" applyBorder="1" applyAlignment="1">
      <alignment vertical="center" wrapText="1"/>
    </xf>
    <xf numFmtId="0" fontId="8" fillId="0" borderId="25" xfId="4" applyFont="1" applyFill="1" applyBorder="1" applyAlignment="1">
      <alignment horizontal="center" vertical="center"/>
    </xf>
    <xf numFmtId="2" fontId="8" fillId="0" borderId="11" xfId="4" applyNumberFormat="1" applyFont="1" applyFill="1" applyBorder="1" applyAlignment="1">
      <alignment vertical="center"/>
    </xf>
    <xf numFmtId="2" fontId="8" fillId="0" borderId="81" xfId="4" applyNumberFormat="1" applyFont="1" applyFill="1" applyBorder="1" applyAlignment="1">
      <alignment vertical="center"/>
    </xf>
    <xf numFmtId="0" fontId="8" fillId="0" borderId="0" xfId="4" applyFont="1" applyAlignment="1">
      <alignment horizontal="center"/>
    </xf>
    <xf numFmtId="2" fontId="8" fillId="0" borderId="0" xfId="4" applyNumberFormat="1" applyFont="1" applyFill="1"/>
    <xf numFmtId="43" fontId="8" fillId="0" borderId="0" xfId="3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top" wrapText="1"/>
    </xf>
    <xf numFmtId="2" fontId="8" fillId="5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top" wrapText="1"/>
    </xf>
    <xf numFmtId="0" fontId="8" fillId="0" borderId="0" xfId="4" applyFont="1" applyFill="1" applyAlignment="1">
      <alignment horizontal="center"/>
    </xf>
    <xf numFmtId="0" fontId="4" fillId="0" borderId="0" xfId="4" applyFont="1" applyFill="1" applyAlignment="1"/>
    <xf numFmtId="0" fontId="4" fillId="0" borderId="0" xfId="4" applyFont="1" applyFill="1"/>
    <xf numFmtId="0" fontId="4" fillId="0" borderId="0" xfId="4" applyFont="1" applyFill="1" applyAlignment="1">
      <alignment horizontal="center"/>
    </xf>
    <xf numFmtId="0" fontId="8" fillId="0" borderId="0" xfId="4" applyFont="1" applyFill="1" applyAlignment="1"/>
    <xf numFmtId="2" fontId="8" fillId="0" borderId="0" xfId="4" applyNumberFormat="1" applyFont="1" applyFill="1" applyAlignment="1">
      <alignment horizontal="center"/>
    </xf>
    <xf numFmtId="0" fontId="8" fillId="0" borderId="0" xfId="4" applyFont="1" applyFill="1" applyAlignment="1">
      <alignment wrapText="1"/>
    </xf>
    <xf numFmtId="0" fontId="8" fillId="0" borderId="0" xfId="4" applyFont="1" applyAlignment="1"/>
    <xf numFmtId="2" fontId="8" fillId="0" borderId="0" xfId="4" applyNumberFormat="1" applyFont="1"/>
    <xf numFmtId="2" fontId="8" fillId="0" borderId="0" xfId="4" applyNumberFormat="1" applyFont="1" applyAlignment="1">
      <alignment horizontal="center"/>
    </xf>
    <xf numFmtId="0" fontId="8" fillId="0" borderId="0" xfId="4" applyFont="1" applyFill="1" applyBorder="1"/>
    <xf numFmtId="0" fontId="8" fillId="0" borderId="0" xfId="4" applyFont="1" applyFill="1" applyBorder="1" applyAlignment="1"/>
    <xf numFmtId="2" fontId="8" fillId="0" borderId="0" xfId="4" applyNumberFormat="1" applyFont="1" applyFill="1" applyBorder="1"/>
    <xf numFmtId="2" fontId="8" fillId="0" borderId="0" xfId="4" applyNumberFormat="1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4" fillId="0" borderId="0" xfId="4" applyFont="1" applyFill="1" applyBorder="1" applyAlignment="1"/>
    <xf numFmtId="2" fontId="4" fillId="0" borderId="0" xfId="4" applyNumberFormat="1" applyFont="1" applyFill="1" applyBorder="1"/>
    <xf numFmtId="2" fontId="4" fillId="0" borderId="0" xfId="4" applyNumberFormat="1" applyFont="1" applyFill="1" applyBorder="1" applyAlignment="1">
      <alignment horizontal="center"/>
    </xf>
    <xf numFmtId="0" fontId="8" fillId="0" borderId="0" xfId="4" applyFont="1" applyFill="1" applyBorder="1" applyAlignment="1">
      <alignment horizontal="right"/>
    </xf>
    <xf numFmtId="0" fontId="8" fillId="0" borderId="0" xfId="4" applyFont="1" applyFill="1" applyAlignment="1">
      <alignment horizontal="right"/>
    </xf>
    <xf numFmtId="0" fontId="4" fillId="0" borderId="0" xfId="4" applyFont="1" applyFill="1" applyBorder="1"/>
    <xf numFmtId="2" fontId="8" fillId="24" borderId="0" xfId="4" applyNumberFormat="1" applyFont="1" applyFill="1"/>
    <xf numFmtId="0" fontId="8" fillId="0" borderId="0" xfId="4" applyFont="1" applyFill="1" applyAlignment="1">
      <alignment horizontal="right" vertical="center"/>
    </xf>
    <xf numFmtId="0" fontId="8" fillId="0" borderId="0" xfId="4" applyFont="1" applyFill="1" applyAlignment="1">
      <alignment horizontal="left" vertical="center"/>
    </xf>
    <xf numFmtId="0" fontId="4" fillId="3" borderId="33" xfId="4" applyFont="1" applyFill="1" applyBorder="1" applyAlignment="1">
      <alignment horizontal="center" vertical="center"/>
    </xf>
    <xf numFmtId="0" fontId="8" fillId="5" borderId="11" xfId="4" applyFont="1" applyFill="1" applyBorder="1" applyAlignment="1">
      <alignment wrapText="1"/>
    </xf>
    <xf numFmtId="2" fontId="8" fillId="5" borderId="33" xfId="4" applyNumberFormat="1" applyFont="1" applyFill="1" applyBorder="1" applyAlignment="1">
      <alignment vertical="center"/>
    </xf>
    <xf numFmtId="165" fontId="8" fillId="0" borderId="0" xfId="4" applyNumberFormat="1" applyFont="1" applyFill="1" applyAlignment="1">
      <alignment horizontal="right" vertical="center"/>
    </xf>
    <xf numFmtId="0" fontId="8" fillId="2" borderId="0" xfId="4" applyFont="1" applyFill="1" applyAlignment="1">
      <alignment horizontal="left" vertical="center"/>
    </xf>
    <xf numFmtId="164" fontId="8" fillId="0" borderId="33" xfId="4" applyNumberFormat="1" applyFont="1" applyFill="1" applyBorder="1" applyAlignment="1">
      <alignment vertical="center"/>
    </xf>
    <xf numFmtId="0" fontId="4" fillId="0" borderId="11" xfId="4" applyFont="1" applyFill="1" applyBorder="1" applyAlignment="1">
      <alignment horizontal="left" vertical="center" wrapText="1"/>
    </xf>
    <xf numFmtId="2" fontId="8" fillId="0" borderId="33" xfId="4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left" vertical="center"/>
    </xf>
    <xf numFmtId="0" fontId="8" fillId="5" borderId="33" xfId="4" applyFont="1" applyFill="1" applyBorder="1" applyAlignment="1">
      <alignment vertical="center"/>
    </xf>
    <xf numFmtId="0" fontId="59" fillId="0" borderId="0" xfId="4" applyFont="1" applyFill="1"/>
    <xf numFmtId="0" fontId="61" fillId="0" borderId="0" xfId="4" applyFont="1" applyFill="1"/>
    <xf numFmtId="0" fontId="8" fillId="5" borderId="11" xfId="4" applyFont="1" applyFill="1" applyBorder="1" applyAlignment="1">
      <alignment horizontal="left" vertical="top" wrapText="1"/>
    </xf>
    <xf numFmtId="0" fontId="8" fillId="0" borderId="11" xfId="4" applyFont="1" applyFill="1" applyBorder="1" applyAlignment="1">
      <alignment horizontal="left" vertical="top" wrapText="1"/>
    </xf>
    <xf numFmtId="2" fontId="8" fillId="0" borderId="0" xfId="4" applyNumberFormat="1" applyFont="1" applyFill="1" applyAlignment="1">
      <alignment horizontal="left" vertical="center"/>
    </xf>
    <xf numFmtId="0" fontId="8" fillId="0" borderId="0" xfId="4" applyFont="1" applyFill="1" applyBorder="1" applyAlignment="1">
      <alignment horizontal="left" vertical="center" wrapText="1"/>
    </xf>
    <xf numFmtId="2" fontId="8" fillId="21" borderId="33" xfId="4" applyNumberFormat="1" applyFont="1" applyFill="1" applyBorder="1" applyAlignment="1">
      <alignment horizontal="center" vertical="center"/>
    </xf>
    <xf numFmtId="165" fontId="8" fillId="21" borderId="0" xfId="4" applyNumberFormat="1" applyFont="1" applyFill="1" applyAlignment="1">
      <alignment horizontal="right" vertical="center"/>
    </xf>
    <xf numFmtId="164" fontId="8" fillId="0" borderId="33" xfId="4" applyNumberFormat="1" applyFont="1" applyFill="1" applyBorder="1" applyAlignment="1">
      <alignment horizontal="center" vertical="center"/>
    </xf>
    <xf numFmtId="2" fontId="8" fillId="0" borderId="35" xfId="4" applyNumberFormat="1" applyFont="1" applyFill="1" applyBorder="1" applyAlignment="1">
      <alignment vertical="center"/>
    </xf>
    <xf numFmtId="2" fontId="8" fillId="0" borderId="0" xfId="4" applyNumberFormat="1" applyFont="1" applyFill="1" applyBorder="1" applyAlignment="1">
      <alignment vertical="center"/>
    </xf>
    <xf numFmtId="0" fontId="8" fillId="0" borderId="0" xfId="4" applyFont="1" applyFill="1" applyAlignment="1">
      <alignment horizontal="left"/>
    </xf>
    <xf numFmtId="0" fontId="8" fillId="0" borderId="0" xfId="4" applyFont="1" applyFill="1" applyAlignment="1">
      <alignment horizontal="center" vertical="center"/>
    </xf>
    <xf numFmtId="0" fontId="59" fillId="0" borderId="0" xfId="4" applyFont="1" applyFill="1" applyAlignment="1">
      <alignment horizontal="left" vertical="center"/>
    </xf>
    <xf numFmtId="0" fontId="8" fillId="20" borderId="0" xfId="4" applyFont="1" applyFill="1" applyAlignment="1">
      <alignment horizontal="left" vertical="center"/>
    </xf>
    <xf numFmtId="0" fontId="8" fillId="0" borderId="0" xfId="0" applyFont="1"/>
    <xf numFmtId="0" fontId="8" fillId="5" borderId="0" xfId="0" applyFont="1" applyFill="1"/>
    <xf numFmtId="0" fontId="8" fillId="3" borderId="0" xfId="0" applyFont="1" applyFill="1"/>
    <xf numFmtId="0" fontId="4" fillId="3" borderId="3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/>
    </xf>
    <xf numFmtId="2" fontId="8" fillId="5" borderId="33" xfId="4" applyNumberFormat="1" applyFont="1" applyFill="1" applyBorder="1" applyAlignment="1">
      <alignment horizontal="center" vertical="center"/>
    </xf>
    <xf numFmtId="165" fontId="8" fillId="0" borderId="0" xfId="4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/>
    <xf numFmtId="0" fontId="4" fillId="3" borderId="3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59" fillId="0" borderId="0" xfId="4" applyFont="1" applyFill="1" applyAlignment="1">
      <alignment horizontal="center" vertical="center"/>
    </xf>
    <xf numFmtId="165" fontId="8" fillId="0" borderId="0" xfId="4" applyNumberFormat="1" applyFont="1" applyFill="1" applyAlignment="1">
      <alignment horizontal="left" vertical="center"/>
    </xf>
    <xf numFmtId="0" fontId="8" fillId="0" borderId="33" xfId="4" applyFont="1" applyFill="1" applyBorder="1" applyAlignment="1">
      <alignment horizontal="center" vertical="center"/>
    </xf>
    <xf numFmtId="0" fontId="4" fillId="5" borderId="11" xfId="4" applyFont="1" applyFill="1" applyBorder="1" applyAlignment="1">
      <alignment horizontal="left" vertical="center" wrapText="1"/>
    </xf>
    <xf numFmtId="0" fontId="62" fillId="0" borderId="0" xfId="4" applyFont="1" applyFill="1" applyAlignment="1">
      <alignment horizontal="left" vertical="center"/>
    </xf>
    <xf numFmtId="0" fontId="59" fillId="0" borderId="0" xfId="4" applyFont="1" applyFill="1" applyBorder="1" applyAlignment="1">
      <alignment horizontal="center" vertical="center"/>
    </xf>
    <xf numFmtId="0" fontId="8" fillId="20" borderId="0" xfId="4" applyFont="1" applyFill="1" applyAlignment="1">
      <alignment horizontal="center" vertical="center"/>
    </xf>
    <xf numFmtId="0" fontId="4" fillId="3" borderId="11" xfId="4" applyFont="1" applyFill="1" applyBorder="1" applyAlignment="1">
      <alignment horizontal="left" vertical="center"/>
    </xf>
    <xf numFmtId="0" fontId="4" fillId="3" borderId="11" xfId="4" applyFont="1" applyFill="1" applyBorder="1" applyAlignment="1">
      <alignment horizontal="left" vertical="center" wrapText="1"/>
    </xf>
    <xf numFmtId="0" fontId="59" fillId="0" borderId="0" xfId="4" applyFont="1" applyFill="1" applyBorder="1" applyAlignment="1">
      <alignment horizontal="left" vertical="center"/>
    </xf>
    <xf numFmtId="2" fontId="8" fillId="0" borderId="0" xfId="4" applyNumberFormat="1" applyFont="1" applyFill="1" applyBorder="1" applyAlignment="1">
      <alignment horizontal="center" vertical="center"/>
    </xf>
    <xf numFmtId="165" fontId="8" fillId="21" borderId="0" xfId="4" applyNumberFormat="1" applyFont="1" applyFill="1" applyAlignment="1">
      <alignment horizontal="center" vertical="center"/>
    </xf>
    <xf numFmtId="0" fontId="59" fillId="21" borderId="0" xfId="4" applyFont="1" applyFill="1" applyAlignment="1">
      <alignment horizontal="left" vertical="center"/>
    </xf>
    <xf numFmtId="0" fontId="8" fillId="0" borderId="36" xfId="4" applyFont="1" applyFill="1" applyBorder="1" applyAlignment="1">
      <alignment horizontal="center" vertical="center"/>
    </xf>
    <xf numFmtId="0" fontId="8" fillId="0" borderId="12" xfId="4" applyFont="1" applyFill="1" applyBorder="1" applyAlignment="1">
      <alignment horizontal="left" vertical="center"/>
    </xf>
    <xf numFmtId="2" fontId="8" fillId="0" borderId="37" xfId="4" applyNumberFormat="1" applyFont="1" applyFill="1" applyBorder="1" applyAlignment="1">
      <alignment horizontal="center" vertical="center"/>
    </xf>
    <xf numFmtId="0" fontId="8" fillId="0" borderId="25" xfId="4" applyFont="1" applyFill="1" applyBorder="1" applyAlignment="1">
      <alignment horizontal="left" vertical="center" wrapText="1"/>
    </xf>
    <xf numFmtId="2" fontId="8" fillId="0" borderId="35" xfId="4" applyNumberFormat="1" applyFont="1" applyFill="1" applyBorder="1" applyAlignment="1">
      <alignment horizontal="center" vertical="center"/>
    </xf>
    <xf numFmtId="0" fontId="8" fillId="3" borderId="0" xfId="4" applyFont="1" applyFill="1" applyAlignment="1">
      <alignment horizontal="center" vertical="center" wrapText="1"/>
    </xf>
    <xf numFmtId="0" fontId="8" fillId="3" borderId="0" xfId="4" applyFont="1" applyFill="1" applyAlignment="1">
      <alignment vertical="center" wrapText="1"/>
    </xf>
    <xf numFmtId="0" fontId="8" fillId="3" borderId="0" xfId="4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59" fillId="0" borderId="0" xfId="4" applyFont="1" applyFill="1" applyBorder="1" applyAlignment="1">
      <alignment vertical="center"/>
    </xf>
    <xf numFmtId="2" fontId="0" fillId="0" borderId="0" xfId="0" applyNumberFormat="1" applyFill="1" applyAlignment="1">
      <alignment horizontal="center" vertical="center"/>
    </xf>
    <xf numFmtId="170" fontId="0" fillId="0" borderId="0" xfId="2" applyNumberFormat="1" applyFont="1" applyAlignment="1">
      <alignment horizontal="center" vertical="center"/>
    </xf>
    <xf numFmtId="2" fontId="0" fillId="25" borderId="82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2" fontId="0" fillId="6" borderId="0" xfId="0" applyNumberFormat="1" applyFill="1" applyAlignment="1">
      <alignment horizontal="center" vertical="center"/>
    </xf>
    <xf numFmtId="2" fontId="0" fillId="25" borderId="3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25" borderId="37" xfId="0" applyNumberFormat="1" applyFill="1" applyBorder="1" applyAlignment="1">
      <alignment horizontal="center" vertical="center"/>
    </xf>
    <xf numFmtId="2" fontId="0" fillId="6" borderId="0" xfId="0" applyNumberForma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65" fillId="0" borderId="0" xfId="0" applyFont="1" applyFill="1" applyBorder="1" applyAlignment="1">
      <alignment horizontal="center" vertical="center" wrapText="1"/>
    </xf>
    <xf numFmtId="0" fontId="67" fillId="28" borderId="44" xfId="0" applyFont="1" applyFill="1" applyBorder="1" applyAlignment="1">
      <alignment horizontal="center" vertical="center" wrapText="1"/>
    </xf>
    <xf numFmtId="2" fontId="0" fillId="0" borderId="82" xfId="0" applyNumberFormat="1" applyFill="1" applyBorder="1" applyAlignment="1">
      <alignment horizontal="center" vertical="center"/>
    </xf>
    <xf numFmtId="2" fontId="68" fillId="15" borderId="9" xfId="0" applyNumberFormat="1" applyFont="1" applyFill="1" applyBorder="1" applyAlignment="1">
      <alignment horizontal="center" vertical="center" wrapText="1"/>
    </xf>
    <xf numFmtId="0" fontId="67" fillId="0" borderId="46" xfId="0" applyFont="1" applyFill="1" applyBorder="1" applyAlignment="1">
      <alignment horizontal="center" vertical="center" wrapText="1"/>
    </xf>
    <xf numFmtId="2" fontId="0" fillId="0" borderId="33" xfId="0" applyNumberFormat="1" applyFill="1" applyBorder="1" applyAlignment="1">
      <alignment horizontal="center" vertical="center"/>
    </xf>
    <xf numFmtId="2" fontId="68" fillId="15" borderId="8" xfId="0" applyNumberFormat="1" applyFont="1" applyFill="1" applyBorder="1" applyAlignment="1">
      <alignment horizontal="center" vertical="center" wrapText="1"/>
    </xf>
    <xf numFmtId="2" fontId="0" fillId="0" borderId="35" xfId="0" applyNumberFormat="1" applyFill="1" applyBorder="1" applyAlignment="1">
      <alignment horizontal="center" vertical="center"/>
    </xf>
    <xf numFmtId="2" fontId="68" fillId="15" borderId="43" xfId="0" applyNumberFormat="1" applyFont="1" applyFill="1" applyBorder="1" applyAlignment="1">
      <alignment horizontal="center" vertical="center" wrapText="1"/>
    </xf>
    <xf numFmtId="0" fontId="67" fillId="0" borderId="48" xfId="0" applyFont="1" applyFill="1" applyBorder="1" applyAlignment="1">
      <alignment horizontal="center" vertical="center" wrapText="1"/>
    </xf>
    <xf numFmtId="0" fontId="67" fillId="28" borderId="12" xfId="0" applyFont="1" applyFill="1" applyBorder="1" applyAlignment="1">
      <alignment horizontal="center" vertical="center" wrapText="1"/>
    </xf>
    <xf numFmtId="2" fontId="68" fillId="0" borderId="9" xfId="0" applyNumberFormat="1" applyFont="1" applyFill="1" applyBorder="1" applyAlignment="1">
      <alignment horizontal="center" vertical="center" wrapText="1"/>
    </xf>
    <xf numFmtId="0" fontId="67" fillId="0" borderId="4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2" fontId="68" fillId="0" borderId="8" xfId="0" applyNumberFormat="1" applyFont="1" applyFill="1" applyBorder="1" applyAlignment="1">
      <alignment horizontal="center" vertical="center" wrapText="1"/>
    </xf>
    <xf numFmtId="2" fontId="0" fillId="0" borderId="37" xfId="0" applyNumberFormat="1" applyFill="1" applyBorder="1" applyAlignment="1">
      <alignment horizontal="center" vertical="center"/>
    </xf>
    <xf numFmtId="2" fontId="68" fillId="0" borderId="47" xfId="0" applyNumberFormat="1" applyFont="1" applyFill="1" applyBorder="1" applyAlignment="1">
      <alignment horizontal="center" vertical="center" wrapText="1"/>
    </xf>
    <xf numFmtId="2" fontId="0" fillId="6" borderId="33" xfId="0" applyNumberFormat="1" applyFill="1" applyBorder="1" applyAlignment="1">
      <alignment horizontal="center" vertical="center"/>
    </xf>
    <xf numFmtId="2" fontId="68" fillId="0" borderId="84" xfId="0" applyNumberFormat="1" applyFont="1" applyFill="1" applyBorder="1" applyAlignment="1">
      <alignment horizontal="center" vertical="center" wrapText="1"/>
    </xf>
    <xf numFmtId="0" fontId="67" fillId="28" borderId="31" xfId="0" applyFont="1" applyFill="1" applyBorder="1" applyAlignment="1">
      <alignment horizontal="center" vertical="center" wrapText="1"/>
    </xf>
    <xf numFmtId="0" fontId="67" fillId="28" borderId="1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2" fontId="0" fillId="0" borderId="22" xfId="0" applyNumberFormat="1" applyFill="1" applyBorder="1" applyAlignment="1">
      <alignment horizontal="center" vertical="center"/>
    </xf>
    <xf numFmtId="2" fontId="68" fillId="0" borderId="43" xfId="0" applyNumberFormat="1" applyFont="1" applyFill="1" applyBorder="1" applyAlignment="1">
      <alignment horizontal="center" vertical="center" wrapText="1"/>
    </xf>
    <xf numFmtId="0" fontId="67" fillId="28" borderId="64" xfId="0" applyFont="1" applyFill="1" applyBorder="1" applyAlignment="1">
      <alignment horizontal="center" vertical="center" wrapText="1"/>
    </xf>
    <xf numFmtId="2" fontId="0" fillId="0" borderId="41" xfId="0" applyNumberFormat="1" applyFill="1" applyBorder="1" applyAlignment="1">
      <alignment horizontal="center" vertical="center"/>
    </xf>
    <xf numFmtId="2" fontId="68" fillId="0" borderId="66" xfId="0" applyNumberFormat="1" applyFont="1" applyFill="1" applyBorder="1" applyAlignment="1">
      <alignment horizontal="center" vertical="center" wrapText="1"/>
    </xf>
    <xf numFmtId="2" fontId="65" fillId="0" borderId="0" xfId="0" applyNumberFormat="1" applyFont="1" applyFill="1" applyBorder="1" applyAlignment="1">
      <alignment horizontal="center" vertical="center" wrapText="1"/>
    </xf>
    <xf numFmtId="169" fontId="65" fillId="0" borderId="0" xfId="0" applyNumberFormat="1" applyFont="1" applyFill="1" applyBorder="1" applyAlignment="1">
      <alignment horizontal="center" vertical="center" wrapText="1"/>
    </xf>
    <xf numFmtId="2" fontId="68" fillId="0" borderId="33" xfId="0" applyNumberFormat="1" applyFont="1" applyFill="1" applyBorder="1" applyAlignment="1">
      <alignment horizontal="center" vertical="center" wrapText="1"/>
    </xf>
    <xf numFmtId="164" fontId="1" fillId="0" borderId="82" xfId="19" applyFont="1" applyFill="1" applyBorder="1" applyAlignment="1">
      <alignment horizontal="center" vertical="center" wrapText="1"/>
    </xf>
    <xf numFmtId="43" fontId="0" fillId="0" borderId="0" xfId="0" applyNumberFormat="1" applyAlignment="1">
      <alignment wrapText="1"/>
    </xf>
    <xf numFmtId="2" fontId="68" fillId="30" borderId="8" xfId="0" applyNumberFormat="1" applyFont="1" applyFill="1" applyBorder="1" applyAlignment="1">
      <alignment horizontal="center" vertical="center" wrapText="1"/>
    </xf>
    <xf numFmtId="165" fontId="65" fillId="0" borderId="0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vertical="center" wrapText="1"/>
    </xf>
    <xf numFmtId="2" fontId="25" fillId="5" borderId="84" xfId="0" applyNumberFormat="1" applyFont="1" applyFill="1" applyBorder="1" applyAlignment="1">
      <alignment horizontal="center" vertical="center"/>
    </xf>
    <xf numFmtId="2" fontId="58" fillId="5" borderId="8" xfId="0" applyNumberFormat="1" applyFont="1" applyFill="1" applyBorder="1" applyAlignment="1">
      <alignment horizontal="center" vertical="center"/>
    </xf>
    <xf numFmtId="2" fontId="58" fillId="5" borderId="47" xfId="0" applyNumberFormat="1" applyFont="1" applyFill="1" applyBorder="1" applyAlignment="1">
      <alignment horizontal="center" vertical="center"/>
    </xf>
    <xf numFmtId="2" fontId="58" fillId="5" borderId="84" xfId="0" applyNumberFormat="1" applyFon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5" fillId="11" borderId="4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0" fillId="0" borderId="0" xfId="3" applyFont="1" applyFill="1" applyAlignment="1">
      <alignment horizontal="center" vertical="center" wrapText="1"/>
    </xf>
    <xf numFmtId="43" fontId="0" fillId="6" borderId="82" xfId="3" applyFont="1" applyFill="1" applyBorder="1" applyAlignment="1">
      <alignment horizontal="center" vertical="center" wrapText="1"/>
    </xf>
    <xf numFmtId="43" fontId="0" fillId="6" borderId="35" xfId="3" applyFont="1" applyFill="1" applyBorder="1" applyAlignment="1">
      <alignment horizontal="center" vertical="center" wrapText="1"/>
    </xf>
    <xf numFmtId="43" fontId="0" fillId="0" borderId="82" xfId="3" applyFont="1" applyFill="1" applyBorder="1" applyAlignment="1">
      <alignment horizontal="center" vertical="center" wrapText="1"/>
    </xf>
    <xf numFmtId="43" fontId="0" fillId="0" borderId="33" xfId="3" applyFont="1" applyFill="1" applyBorder="1" applyAlignment="1">
      <alignment horizontal="center" vertical="center" wrapText="1"/>
    </xf>
    <xf numFmtId="43" fontId="0" fillId="0" borderId="37" xfId="3" applyFont="1" applyFill="1" applyBorder="1" applyAlignment="1">
      <alignment horizontal="center" vertical="center" wrapText="1"/>
    </xf>
    <xf numFmtId="43" fontId="25" fillId="0" borderId="33" xfId="3" applyFont="1" applyFill="1" applyBorder="1" applyAlignment="1">
      <alignment horizontal="center" vertical="center" wrapText="1"/>
    </xf>
    <xf numFmtId="43" fontId="0" fillId="0" borderId="35" xfId="3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/>
    </xf>
    <xf numFmtId="43" fontId="0" fillId="24" borderId="33" xfId="3" applyFont="1" applyFill="1" applyBorder="1" applyAlignment="1">
      <alignment horizontal="center" vertical="center" wrapText="1"/>
    </xf>
    <xf numFmtId="0" fontId="0" fillId="24" borderId="0" xfId="0" applyFill="1" applyAlignment="1">
      <alignment horizontal="center" vertical="center" wrapText="1"/>
    </xf>
    <xf numFmtId="2" fontId="0" fillId="24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23" fillId="8" borderId="89" xfId="0" applyNumberFormat="1" applyFont="1" applyFill="1" applyBorder="1" applyAlignment="1">
      <alignment vertical="center"/>
    </xf>
    <xf numFmtId="0" fontId="23" fillId="8" borderId="89" xfId="0" applyFont="1" applyFill="1" applyBorder="1" applyAlignment="1">
      <alignment horizontal="center" vertical="center"/>
    </xf>
    <xf numFmtId="2" fontId="25" fillId="6" borderId="47" xfId="0" applyNumberFormat="1" applyFont="1" applyFill="1" applyBorder="1" applyAlignment="1">
      <alignment horizontal="center" vertical="center"/>
    </xf>
    <xf numFmtId="0" fontId="15" fillId="6" borderId="46" xfId="0" applyFont="1" applyFill="1" applyBorder="1" applyAlignment="1">
      <alignment horizontal="center" vertical="center"/>
    </xf>
    <xf numFmtId="1" fontId="25" fillId="5" borderId="8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0" fontId="10" fillId="0" borderId="0" xfId="2" applyNumberFormat="1" applyFont="1" applyBorder="1" applyAlignment="1">
      <alignment vertical="center"/>
    </xf>
    <xf numFmtId="4" fontId="10" fillId="0" borderId="0" xfId="3" applyNumberFormat="1" applyFont="1" applyBorder="1" applyAlignment="1">
      <alignment vertical="center"/>
    </xf>
    <xf numFmtId="4" fontId="9" fillId="0" borderId="0" xfId="3" applyNumberFormat="1" applyFont="1" applyBorder="1" applyAlignment="1">
      <alignment vertical="center"/>
    </xf>
    <xf numFmtId="4" fontId="10" fillId="0" borderId="11" xfId="3" applyNumberFormat="1" applyFont="1" applyFill="1" applyBorder="1" applyAlignment="1">
      <alignment horizontal="right" vertical="center" wrapText="1"/>
    </xf>
    <xf numFmtId="4" fontId="10" fillId="0" borderId="33" xfId="3" applyNumberFormat="1" applyFont="1" applyFill="1" applyBorder="1" applyAlignment="1">
      <alignment horizontal="right" vertical="center" wrapText="1"/>
    </xf>
    <xf numFmtId="0" fontId="10" fillId="0" borderId="32" xfId="0" applyFont="1" applyFill="1" applyBorder="1" applyAlignment="1">
      <alignment vertical="center" wrapText="1"/>
    </xf>
    <xf numFmtId="43" fontId="10" fillId="0" borderId="11" xfId="3" applyFont="1" applyFill="1" applyBorder="1" applyAlignment="1">
      <alignment horizontal="center" vertical="center" wrapText="1"/>
    </xf>
    <xf numFmtId="4" fontId="10" fillId="0" borderId="11" xfId="3" applyNumberFormat="1" applyFont="1" applyFill="1" applyBorder="1" applyAlignment="1">
      <alignment horizontal="center" vertical="center" wrapText="1"/>
    </xf>
    <xf numFmtId="4" fontId="9" fillId="0" borderId="11" xfId="3" applyNumberFormat="1" applyFont="1" applyFill="1" applyBorder="1" applyAlignment="1">
      <alignment vertical="center" wrapText="1"/>
    </xf>
    <xf numFmtId="4" fontId="9" fillId="0" borderId="11" xfId="3" applyNumberFormat="1" applyFont="1" applyFill="1" applyBorder="1" applyAlignment="1">
      <alignment horizontal="right" vertical="center" wrapText="1"/>
    </xf>
    <xf numFmtId="4" fontId="9" fillId="0" borderId="33" xfId="3" applyNumberFormat="1" applyFont="1" applyFill="1" applyBorder="1" applyAlignment="1">
      <alignment horizontal="right" vertical="center" wrapText="1"/>
    </xf>
    <xf numFmtId="43" fontId="10" fillId="0" borderId="0" xfId="0" applyNumberFormat="1" applyFont="1" applyFill="1" applyAlignment="1">
      <alignment vertical="center" wrapText="1"/>
    </xf>
    <xf numFmtId="0" fontId="10" fillId="0" borderId="11" xfId="0" applyFont="1" applyFill="1" applyBorder="1" applyAlignment="1">
      <alignment horizontal="center" vertical="center" wrapText="1"/>
    </xf>
    <xf numFmtId="43" fontId="10" fillId="0" borderId="11" xfId="3" applyFont="1" applyFill="1" applyBorder="1" applyAlignment="1">
      <alignment vertical="center" wrapText="1"/>
    </xf>
    <xf numFmtId="0" fontId="18" fillId="0" borderId="32" xfId="0" applyFont="1" applyFill="1" applyBorder="1" applyAlignment="1">
      <alignment vertical="center" wrapText="1"/>
    </xf>
    <xf numFmtId="43" fontId="18" fillId="0" borderId="11" xfId="3" applyFont="1" applyFill="1" applyBorder="1" applyAlignment="1">
      <alignment horizontal="center" vertical="center" wrapText="1"/>
    </xf>
    <xf numFmtId="4" fontId="18" fillId="0" borderId="11" xfId="3" applyNumberFormat="1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center" vertical="center" wrapText="1"/>
    </xf>
    <xf numFmtId="43" fontId="9" fillId="0" borderId="11" xfId="3" applyFont="1" applyFill="1" applyBorder="1" applyAlignment="1">
      <alignment vertical="center" wrapText="1"/>
    </xf>
    <xf numFmtId="4" fontId="18" fillId="0" borderId="11" xfId="3" applyNumberFormat="1" applyFont="1" applyFill="1" applyBorder="1" applyAlignment="1">
      <alignment horizontal="right" vertical="center" wrapText="1"/>
    </xf>
    <xf numFmtId="4" fontId="18" fillId="0" borderId="33" xfId="3" applyNumberFormat="1" applyFont="1" applyFill="1" applyBorder="1" applyAlignment="1">
      <alignment horizontal="right" vertical="center" wrapText="1"/>
    </xf>
    <xf numFmtId="4" fontId="9" fillId="0" borderId="33" xfId="3" applyNumberFormat="1" applyFont="1" applyFill="1" applyBorder="1" applyAlignment="1">
      <alignment vertical="center" wrapText="1"/>
    </xf>
    <xf numFmtId="4" fontId="10" fillId="0" borderId="11" xfId="3" applyNumberFormat="1" applyFont="1" applyBorder="1" applyAlignment="1">
      <alignment horizontal="right" vertical="center" wrapText="1"/>
    </xf>
    <xf numFmtId="4" fontId="10" fillId="0" borderId="33" xfId="3" applyNumberFormat="1" applyFont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horizontal="center" vertical="center" wrapText="1"/>
    </xf>
    <xf numFmtId="43" fontId="10" fillId="0" borderId="25" xfId="3" applyFont="1" applyFill="1" applyBorder="1" applyAlignment="1">
      <alignment horizontal="center" vertical="center" wrapText="1"/>
    </xf>
    <xf numFmtId="4" fontId="10" fillId="0" borderId="25" xfId="3" applyNumberFormat="1" applyFont="1" applyFill="1" applyBorder="1" applyAlignment="1">
      <alignment horizontal="right" vertical="center" wrapText="1"/>
    </xf>
    <xf numFmtId="4" fontId="10" fillId="0" borderId="25" xfId="3" applyNumberFormat="1" applyFont="1" applyBorder="1" applyAlignment="1">
      <alignment horizontal="right" vertical="center" wrapText="1"/>
    </xf>
    <xf numFmtId="4" fontId="10" fillId="0" borderId="35" xfId="3" applyNumberFormat="1" applyFont="1" applyBorder="1" applyAlignment="1">
      <alignment horizontal="right" vertical="center" wrapText="1"/>
    </xf>
    <xf numFmtId="4" fontId="10" fillId="0" borderId="0" xfId="3" applyNumberFormat="1" applyFont="1" applyAlignment="1">
      <alignment horizontal="right" vertical="center" wrapText="1"/>
    </xf>
    <xf numFmtId="4" fontId="10" fillId="0" borderId="0" xfId="3" applyNumberFormat="1" applyFont="1" applyAlignment="1">
      <alignment vertical="center" wrapText="1"/>
    </xf>
    <xf numFmtId="4" fontId="10" fillId="0" borderId="0" xfId="0" applyNumberFormat="1" applyFont="1" applyAlignment="1">
      <alignment vertical="center" wrapText="1"/>
    </xf>
    <xf numFmtId="0" fontId="3" fillId="0" borderId="0" xfId="3" applyNumberFormat="1" applyFont="1" applyFill="1" applyBorder="1" applyAlignment="1">
      <alignment horizontal="center" vertical="center"/>
    </xf>
    <xf numFmtId="0" fontId="3" fillId="0" borderId="6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43" fontId="2" fillId="0" borderId="5" xfId="3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43" fontId="8" fillId="5" borderId="0" xfId="3" applyFont="1" applyFill="1" applyBorder="1" applyAlignment="1">
      <alignment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vertical="center" wrapText="1"/>
    </xf>
    <xf numFmtId="43" fontId="59" fillId="0" borderId="0" xfId="3" applyFont="1" applyFill="1" applyAlignment="1">
      <alignment horizontal="right" vertical="center" wrapText="1"/>
    </xf>
    <xf numFmtId="0" fontId="3" fillId="0" borderId="0" xfId="0" applyFont="1" applyAlignment="1">
      <alignment vertical="center"/>
    </xf>
    <xf numFmtId="43" fontId="18" fillId="0" borderId="0" xfId="3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6" fillId="5" borderId="0" xfId="0" applyFont="1" applyFill="1"/>
    <xf numFmtId="0" fontId="0" fillId="5" borderId="0" xfId="0" applyFill="1" applyAlignment="1">
      <alignment wrapText="1"/>
    </xf>
    <xf numFmtId="4" fontId="0" fillId="5" borderId="0" xfId="0" applyNumberFormat="1" applyFill="1"/>
    <xf numFmtId="0" fontId="9" fillId="5" borderId="0" xfId="0" applyFont="1" applyFill="1" applyAlignment="1">
      <alignment vertical="center" wrapText="1"/>
    </xf>
    <xf numFmtId="0" fontId="18" fillId="5" borderId="0" xfId="0" applyFont="1" applyFill="1" applyAlignment="1">
      <alignment vertical="center" wrapText="1"/>
    </xf>
    <xf numFmtId="4" fontId="26" fillId="12" borderId="0" xfId="3" applyNumberFormat="1" applyFont="1" applyFill="1" applyBorder="1" applyAlignment="1">
      <alignment horizontal="right" vertical="center" wrapText="1"/>
    </xf>
    <xf numFmtId="0" fontId="26" fillId="5" borderId="0" xfId="0" applyFont="1" applyFill="1" applyBorder="1" applyAlignment="1">
      <alignment vertical="center" wrapText="1"/>
    </xf>
    <xf numFmtId="0" fontId="26" fillId="12" borderId="0" xfId="0" applyFont="1" applyFill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" fontId="3" fillId="0" borderId="0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52" fillId="16" borderId="16" xfId="0" applyFont="1" applyFill="1" applyBorder="1" applyAlignment="1">
      <alignment horizontal="center" vertical="center" wrapText="1"/>
    </xf>
    <xf numFmtId="0" fontId="52" fillId="16" borderId="17" xfId="0" applyFont="1" applyFill="1" applyBorder="1" applyAlignment="1">
      <alignment horizontal="center" vertical="center" wrapText="1"/>
    </xf>
    <xf numFmtId="0" fontId="52" fillId="16" borderId="27" xfId="0" applyFont="1" applyFill="1" applyBorder="1" applyAlignment="1">
      <alignment horizontal="center" vertical="center" wrapText="1"/>
    </xf>
    <xf numFmtId="4" fontId="51" fillId="19" borderId="62" xfId="0" applyNumberFormat="1" applyFont="1" applyFill="1" applyBorder="1" applyAlignment="1">
      <alignment horizontal="right" vertical="top" wrapText="1"/>
    </xf>
    <xf numFmtId="0" fontId="0" fillId="0" borderId="0" xfId="0"/>
    <xf numFmtId="4" fontId="51" fillId="19" borderId="67" xfId="0" applyNumberFormat="1" applyFont="1" applyFill="1" applyBorder="1" applyAlignment="1">
      <alignment horizontal="right" vertical="top" wrapText="1"/>
    </xf>
    <xf numFmtId="0" fontId="0" fillId="0" borderId="24" xfId="0" applyBorder="1"/>
    <xf numFmtId="4" fontId="51" fillId="19" borderId="78" xfId="17" applyNumberFormat="1" applyFont="1" applyFill="1" applyBorder="1" applyAlignment="1">
      <alignment horizontal="right" vertical="top"/>
    </xf>
    <xf numFmtId="4" fontId="51" fillId="19" borderId="79" xfId="17" applyNumberFormat="1" applyFont="1" applyFill="1" applyBorder="1" applyAlignment="1">
      <alignment horizontal="right" vertical="top"/>
    </xf>
    <xf numFmtId="0" fontId="50" fillId="16" borderId="68" xfId="0" applyFont="1" applyFill="1" applyBorder="1" applyAlignment="1">
      <alignment horizontal="right" vertical="top" wrapText="1"/>
    </xf>
    <xf numFmtId="0" fontId="51" fillId="17" borderId="62" xfId="0" applyFont="1" applyFill="1" applyBorder="1" applyAlignment="1">
      <alignment horizontal="right" vertical="top" wrapText="1"/>
    </xf>
    <xf numFmtId="4" fontId="51" fillId="18" borderId="62" xfId="0" applyNumberFormat="1" applyFont="1" applyFill="1" applyBorder="1" applyAlignment="1">
      <alignment horizontal="right" vertical="top" wrapText="1"/>
    </xf>
    <xf numFmtId="0" fontId="50" fillId="16" borderId="77" xfId="17" applyFont="1" applyFill="1" applyBorder="1" applyAlignment="1">
      <alignment horizontal="right" vertical="top"/>
    </xf>
    <xf numFmtId="0" fontId="50" fillId="16" borderId="0" xfId="17" applyFont="1" applyFill="1" applyBorder="1" applyAlignment="1">
      <alignment horizontal="right" vertical="top"/>
    </xf>
    <xf numFmtId="0" fontId="51" fillId="17" borderId="77" xfId="17" applyFont="1" applyFill="1" applyBorder="1" applyAlignment="1">
      <alignment horizontal="right" vertical="top"/>
    </xf>
    <xf numFmtId="0" fontId="51" fillId="17" borderId="0" xfId="17" applyFont="1" applyFill="1" applyBorder="1" applyAlignment="1">
      <alignment horizontal="right" vertical="top"/>
    </xf>
    <xf numFmtId="4" fontId="51" fillId="19" borderId="77" xfId="17" applyNumberFormat="1" applyFont="1" applyFill="1" applyBorder="1" applyAlignment="1">
      <alignment horizontal="right" vertical="top"/>
    </xf>
    <xf numFmtId="4" fontId="51" fillId="19" borderId="0" xfId="17" applyNumberFormat="1" applyFont="1" applyFill="1" applyBorder="1" applyAlignment="1">
      <alignment horizontal="right" vertical="top"/>
    </xf>
    <xf numFmtId="4" fontId="51" fillId="18" borderId="77" xfId="17" applyNumberFormat="1" applyFont="1" applyFill="1" applyBorder="1" applyAlignment="1">
      <alignment horizontal="right" vertical="top"/>
    </xf>
    <xf numFmtId="4" fontId="51" fillId="18" borderId="0" xfId="17" applyNumberFormat="1" applyFont="1" applyFill="1" applyBorder="1" applyAlignment="1">
      <alignment horizontal="right" vertical="top"/>
    </xf>
    <xf numFmtId="0" fontId="50" fillId="16" borderId="0" xfId="17" applyFont="1" applyFill="1" applyAlignment="1">
      <alignment horizontal="center" wrapText="1"/>
    </xf>
    <xf numFmtId="4" fontId="51" fillId="18" borderId="78" xfId="17" applyNumberFormat="1" applyFont="1" applyFill="1" applyBorder="1" applyAlignment="1">
      <alignment horizontal="right" vertical="top"/>
    </xf>
    <xf numFmtId="4" fontId="51" fillId="18" borderId="79" xfId="17" applyNumberFormat="1" applyFont="1" applyFill="1" applyBorder="1" applyAlignment="1">
      <alignment horizontal="right" vertical="top"/>
    </xf>
    <xf numFmtId="4" fontId="51" fillId="19" borderId="80" xfId="17" applyNumberFormat="1" applyFont="1" applyFill="1" applyBorder="1" applyAlignment="1">
      <alignment horizontal="right" vertical="top"/>
    </xf>
    <xf numFmtId="4" fontId="51" fillId="19" borderId="24" xfId="17" applyNumberFormat="1" applyFont="1" applyFill="1" applyBorder="1" applyAlignment="1">
      <alignment horizontal="right" vertical="top"/>
    </xf>
    <xf numFmtId="1" fontId="5" fillId="14" borderId="39" xfId="14" applyNumberFormat="1" applyFont="1" applyFill="1" applyBorder="1" applyAlignment="1">
      <alignment horizontal="center" vertical="center" wrapText="1"/>
    </xf>
    <xf numFmtId="1" fontId="5" fillId="14" borderId="32" xfId="14" applyNumberFormat="1" applyFont="1" applyFill="1" applyBorder="1" applyAlignment="1">
      <alignment horizontal="center" vertical="center" wrapText="1"/>
    </xf>
    <xf numFmtId="1" fontId="5" fillId="14" borderId="34" xfId="14" applyNumberFormat="1" applyFont="1" applyFill="1" applyBorder="1" applyAlignment="1">
      <alignment horizontal="center" vertical="center" wrapText="1"/>
    </xf>
    <xf numFmtId="4" fontId="5" fillId="14" borderId="11" xfId="14" applyNumberFormat="1" applyFont="1" applyFill="1" applyBorder="1" applyAlignment="1">
      <alignment horizontal="left" vertical="center" wrapText="1"/>
    </xf>
    <xf numFmtId="44" fontId="42" fillId="5" borderId="11" xfId="15" applyFont="1" applyFill="1" applyBorder="1" applyAlignment="1">
      <alignment horizontal="center" vertical="center" wrapText="1"/>
    </xf>
    <xf numFmtId="1" fontId="5" fillId="14" borderId="11" xfId="14" applyNumberFormat="1" applyFont="1" applyFill="1" applyBorder="1" applyAlignment="1">
      <alignment horizontal="center" vertical="center" wrapText="1"/>
    </xf>
    <xf numFmtId="4" fontId="5" fillId="14" borderId="11" xfId="14" applyNumberFormat="1" applyFont="1" applyFill="1" applyBorder="1" applyAlignment="1">
      <alignment vertical="center" wrapText="1"/>
    </xf>
    <xf numFmtId="4" fontId="5" fillId="14" borderId="40" xfId="14" applyNumberFormat="1" applyFont="1" applyFill="1" applyBorder="1" applyAlignment="1">
      <alignment vertical="center" wrapText="1"/>
    </xf>
    <xf numFmtId="4" fontId="5" fillId="14" borderId="25" xfId="14" applyNumberFormat="1" applyFont="1" applyFill="1" applyBorder="1" applyAlignment="1">
      <alignment vertical="center" wrapText="1"/>
    </xf>
    <xf numFmtId="44" fontId="42" fillId="5" borderId="41" xfId="15" applyFont="1" applyFill="1" applyBorder="1" applyAlignment="1">
      <alignment horizontal="center" vertical="center" wrapText="1"/>
    </xf>
    <xf numFmtId="44" fontId="42" fillId="5" borderId="33" xfId="15" applyFont="1" applyFill="1" applyBorder="1" applyAlignment="1">
      <alignment horizontal="center" vertical="center" wrapText="1"/>
    </xf>
    <xf numFmtId="44" fontId="42" fillId="5" borderId="35" xfId="15" applyFont="1" applyFill="1" applyBorder="1" applyAlignment="1">
      <alignment horizontal="center" vertical="center" wrapText="1"/>
    </xf>
    <xf numFmtId="0" fontId="5" fillId="14" borderId="11" xfId="14" applyNumberFormat="1" applyFont="1" applyFill="1" applyBorder="1" applyAlignment="1">
      <alignment vertical="center" wrapText="1"/>
    </xf>
    <xf numFmtId="1" fontId="5" fillId="14" borderId="71" xfId="14" applyNumberFormat="1" applyFont="1" applyFill="1" applyBorder="1" applyAlignment="1">
      <alignment horizontal="center" vertical="center" wrapText="1"/>
    </xf>
    <xf numFmtId="1" fontId="5" fillId="14" borderId="74" xfId="14" applyNumberFormat="1" applyFont="1" applyFill="1" applyBorder="1" applyAlignment="1">
      <alignment horizontal="center" vertical="center" wrapText="1"/>
    </xf>
    <xf numFmtId="1" fontId="5" fillId="14" borderId="75" xfId="14" applyNumberFormat="1" applyFont="1" applyFill="1" applyBorder="1" applyAlignment="1">
      <alignment horizontal="center" vertical="center" wrapText="1"/>
    </xf>
    <xf numFmtId="4" fontId="5" fillId="14" borderId="72" xfId="14" applyNumberFormat="1" applyFont="1" applyFill="1" applyBorder="1" applyAlignment="1">
      <alignment horizontal="left" vertical="center" wrapText="1"/>
    </xf>
    <xf numFmtId="4" fontId="5" fillId="14" borderId="69" xfId="14" applyNumberFormat="1" applyFont="1" applyFill="1" applyBorder="1" applyAlignment="1">
      <alignment horizontal="left" vertical="center" wrapText="1"/>
    </xf>
    <xf numFmtId="4" fontId="5" fillId="14" borderId="76" xfId="14" applyNumberFormat="1" applyFont="1" applyFill="1" applyBorder="1" applyAlignment="1">
      <alignment horizontal="left" vertical="center" wrapText="1"/>
    </xf>
    <xf numFmtId="44" fontId="42" fillId="5" borderId="73" xfId="15" applyFont="1" applyFill="1" applyBorder="1" applyAlignment="1">
      <alignment horizontal="center" vertical="center" wrapText="1"/>
    </xf>
    <xf numFmtId="44" fontId="42" fillId="5" borderId="65" xfId="15" applyFont="1" applyFill="1" applyBorder="1" applyAlignment="1">
      <alignment horizontal="center" vertical="center" wrapText="1"/>
    </xf>
    <xf numFmtId="44" fontId="42" fillId="5" borderId="38" xfId="15" applyFont="1" applyFill="1" applyBorder="1" applyAlignment="1">
      <alignment horizontal="center" vertical="center" wrapText="1"/>
    </xf>
    <xf numFmtId="44" fontId="42" fillId="5" borderId="1" xfId="15" applyFont="1" applyFill="1" applyBorder="1" applyAlignment="1">
      <alignment horizontal="center" vertical="center" wrapText="1"/>
    </xf>
    <xf numFmtId="0" fontId="44" fillId="0" borderId="5" xfId="0" applyFont="1" applyBorder="1" applyAlignment="1">
      <alignment horizontal="center"/>
    </xf>
    <xf numFmtId="1" fontId="5" fillId="14" borderId="12" xfId="14" applyNumberFormat="1" applyFont="1" applyFill="1" applyBorder="1" applyAlignment="1">
      <alignment horizontal="center" vertical="center" wrapText="1"/>
    </xf>
    <xf numFmtId="4" fontId="5" fillId="14" borderId="12" xfId="14" applyNumberFormat="1" applyFont="1" applyFill="1" applyBorder="1" applyAlignment="1">
      <alignment horizontal="left" vertical="center" wrapText="1"/>
    </xf>
    <xf numFmtId="44" fontId="42" fillId="5" borderId="12" xfId="15" applyFont="1" applyFill="1" applyBorder="1" applyAlignment="1">
      <alignment horizontal="center" vertical="center" wrapText="1"/>
    </xf>
    <xf numFmtId="44" fontId="42" fillId="5" borderId="69" xfId="15" applyFont="1" applyFill="1" applyBorder="1" applyAlignment="1">
      <alignment horizontal="center" vertical="center" wrapText="1"/>
    </xf>
    <xf numFmtId="44" fontId="42" fillId="5" borderId="31" xfId="15" applyFont="1" applyFill="1" applyBorder="1" applyAlignment="1">
      <alignment horizontal="center" vertical="center" wrapText="1"/>
    </xf>
    <xf numFmtId="1" fontId="5" fillId="14" borderId="69" xfId="14" applyNumberFormat="1" applyFont="1" applyFill="1" applyBorder="1" applyAlignment="1">
      <alignment horizontal="center" vertical="center" wrapText="1"/>
    </xf>
    <xf numFmtId="1" fontId="5" fillId="14" borderId="31" xfId="14" applyNumberFormat="1" applyFont="1" applyFill="1" applyBorder="1" applyAlignment="1">
      <alignment horizontal="center" vertical="center" wrapText="1"/>
    </xf>
    <xf numFmtId="4" fontId="5" fillId="14" borderId="31" xfId="14" applyNumberFormat="1" applyFont="1" applyFill="1" applyBorder="1" applyAlignment="1">
      <alignment horizontal="left" vertical="center" wrapText="1"/>
    </xf>
    <xf numFmtId="0" fontId="5" fillId="14" borderId="11" xfId="14" applyNumberFormat="1" applyFont="1" applyFill="1" applyBorder="1" applyAlignment="1">
      <alignment horizontal="left" vertical="center" wrapText="1"/>
    </xf>
    <xf numFmtId="0" fontId="5" fillId="14" borderId="11" xfId="14" applyNumberFormat="1" applyFont="1" applyFill="1" applyBorder="1" applyAlignment="1">
      <alignment horizontal="center" vertical="center" wrapText="1"/>
    </xf>
    <xf numFmtId="0" fontId="55" fillId="0" borderId="21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55" fillId="0" borderId="22" xfId="0" applyFont="1" applyBorder="1" applyAlignment="1">
      <alignment horizontal="center" vertical="center"/>
    </xf>
    <xf numFmtId="0" fontId="54" fillId="7" borderId="23" xfId="0" applyFont="1" applyFill="1" applyBorder="1" applyAlignment="1">
      <alignment horizontal="center" vertical="center"/>
    </xf>
    <xf numFmtId="0" fontId="54" fillId="7" borderId="24" xfId="0" applyFont="1" applyFill="1" applyBorder="1" applyAlignment="1">
      <alignment horizontal="center" vertical="center"/>
    </xf>
    <xf numFmtId="0" fontId="29" fillId="7" borderId="1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7" borderId="27" xfId="0" applyFont="1" applyFill="1" applyBorder="1" applyAlignment="1">
      <alignment horizontal="center" vertical="center"/>
    </xf>
    <xf numFmtId="0" fontId="54" fillId="7" borderId="20" xfId="0" applyFont="1" applyFill="1" applyBorder="1" applyAlignment="1">
      <alignment horizontal="center" vertical="center" wrapText="1"/>
    </xf>
    <xf numFmtId="0" fontId="54" fillId="7" borderId="23" xfId="0" applyFont="1" applyFill="1" applyBorder="1" applyAlignment="1">
      <alignment horizontal="center" vertical="center" wrapText="1"/>
    </xf>
    <xf numFmtId="0" fontId="54" fillId="7" borderId="18" xfId="0" applyFont="1" applyFill="1" applyBorder="1" applyAlignment="1">
      <alignment horizontal="center" vertical="center" wrapText="1"/>
    </xf>
    <xf numFmtId="0" fontId="54" fillId="7" borderId="24" xfId="0" applyFont="1" applyFill="1" applyBorder="1" applyAlignment="1">
      <alignment horizontal="center" vertical="center" wrapText="1"/>
    </xf>
    <xf numFmtId="0" fontId="54" fillId="7" borderId="19" xfId="0" applyFont="1" applyFill="1" applyBorder="1" applyAlignment="1">
      <alignment horizontal="center" vertical="center" wrapText="1"/>
    </xf>
    <xf numFmtId="0" fontId="30" fillId="0" borderId="53" xfId="4" applyFont="1" applyBorder="1" applyAlignment="1">
      <alignment horizontal="center" vertical="center"/>
    </xf>
    <xf numFmtId="0" fontId="30" fillId="0" borderId="4" xfId="4" applyFont="1" applyBorder="1" applyAlignment="1">
      <alignment horizontal="center" vertical="center"/>
    </xf>
    <xf numFmtId="0" fontId="30" fillId="0" borderId="51" xfId="4" applyFont="1" applyBorder="1" applyAlignment="1">
      <alignment horizontal="center" vertical="center"/>
    </xf>
    <xf numFmtId="0" fontId="31" fillId="0" borderId="0" xfId="4" applyFont="1" applyBorder="1" applyAlignment="1">
      <alignment horizontal="left" vertical="center" wrapText="1"/>
    </xf>
    <xf numFmtId="0" fontId="31" fillId="0" borderId="22" xfId="4" applyFont="1" applyBorder="1" applyAlignment="1">
      <alignment horizontal="left" vertical="center" wrapText="1"/>
    </xf>
    <xf numFmtId="0" fontId="31" fillId="0" borderId="5" xfId="4" applyFont="1" applyBorder="1" applyAlignment="1">
      <alignment horizontal="left" vertical="center" wrapText="1"/>
    </xf>
    <xf numFmtId="0" fontId="31" fillId="0" borderId="49" xfId="4" applyFont="1" applyBorder="1" applyAlignment="1">
      <alignment horizontal="left" vertical="center" wrapText="1"/>
    </xf>
    <xf numFmtId="0" fontId="27" fillId="7" borderId="16" xfId="4" applyFont="1" applyFill="1" applyBorder="1" applyAlignment="1">
      <alignment horizontal="center"/>
    </xf>
    <xf numFmtId="0" fontId="27" fillId="7" borderId="17" xfId="4" applyFont="1" applyFill="1" applyBorder="1" applyAlignment="1">
      <alignment horizontal="center"/>
    </xf>
    <xf numFmtId="0" fontId="27" fillId="7" borderId="27" xfId="4" applyFont="1" applyFill="1" applyBorder="1" applyAlignment="1">
      <alignment horizontal="center"/>
    </xf>
    <xf numFmtId="0" fontId="27" fillId="13" borderId="52" xfId="4" applyFont="1" applyFill="1" applyBorder="1" applyAlignment="1">
      <alignment horizontal="center"/>
    </xf>
    <xf numFmtId="0" fontId="27" fillId="13" borderId="5" xfId="4" applyFont="1" applyFill="1" applyBorder="1" applyAlignment="1">
      <alignment horizontal="center"/>
    </xf>
    <xf numFmtId="0" fontId="8" fillId="0" borderId="0" xfId="4" applyFont="1" applyBorder="1" applyAlignment="1">
      <alignment horizontal="center" vertical="center"/>
    </xf>
    <xf numFmtId="0" fontId="8" fillId="0" borderId="5" xfId="4" applyFont="1" applyBorder="1" applyAlignment="1">
      <alignment horizontal="center" vertical="center"/>
    </xf>
    <xf numFmtId="0" fontId="27" fillId="13" borderId="45" xfId="4" applyFont="1" applyFill="1" applyBorder="1" applyAlignment="1">
      <alignment horizontal="center"/>
    </xf>
    <xf numFmtId="0" fontId="27" fillId="13" borderId="3" xfId="4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3" applyNumberFormat="1" applyFont="1" applyBorder="1" applyAlignment="1">
      <alignment horizontal="center" vertical="center" wrapText="1"/>
    </xf>
    <xf numFmtId="0" fontId="2" fillId="0" borderId="2" xfId="3" applyNumberFormat="1" applyFont="1" applyBorder="1" applyAlignment="1">
      <alignment horizontal="center" vertical="center" wrapText="1"/>
    </xf>
    <xf numFmtId="0" fontId="4" fillId="3" borderId="32" xfId="4" quotePrefix="1" applyFont="1" applyFill="1" applyBorder="1" applyAlignment="1">
      <alignment horizontal="center" vertical="center" wrapText="1"/>
    </xf>
    <xf numFmtId="0" fontId="4" fillId="3" borderId="11" xfId="4" quotePrefix="1" applyFont="1" applyFill="1" applyBorder="1" applyAlignment="1">
      <alignment horizontal="center" vertical="center" wrapText="1"/>
    </xf>
    <xf numFmtId="0" fontId="4" fillId="3" borderId="45" xfId="4" quotePrefix="1" applyFont="1" applyFill="1" applyBorder="1" applyAlignment="1">
      <alignment horizontal="center" vertical="center" wrapText="1"/>
    </xf>
    <xf numFmtId="0" fontId="4" fillId="3" borderId="3" xfId="4" quotePrefix="1" applyFont="1" applyFill="1" applyBorder="1" applyAlignment="1">
      <alignment horizontal="center" vertical="center" wrapText="1"/>
    </xf>
    <xf numFmtId="0" fontId="4" fillId="3" borderId="50" xfId="4" quotePrefix="1" applyFont="1" applyFill="1" applyBorder="1" applyAlignment="1">
      <alignment horizontal="center" vertical="center" wrapText="1"/>
    </xf>
    <xf numFmtId="164" fontId="4" fillId="3" borderId="32" xfId="5" applyFont="1" applyFill="1" applyBorder="1" applyAlignment="1">
      <alignment horizontal="center" vertical="center"/>
    </xf>
    <xf numFmtId="164" fontId="4" fillId="3" borderId="11" xfId="5" applyFont="1" applyFill="1" applyBorder="1" applyAlignment="1">
      <alignment horizontal="center" vertical="center"/>
    </xf>
    <xf numFmtId="164" fontId="4" fillId="3" borderId="11" xfId="5" quotePrefix="1" applyFont="1" applyFill="1" applyBorder="1" applyAlignment="1">
      <alignment horizontal="center" vertical="center"/>
    </xf>
    <xf numFmtId="164" fontId="4" fillId="3" borderId="32" xfId="5" quotePrefix="1" applyFont="1" applyFill="1" applyBorder="1" applyAlignment="1">
      <alignment horizontal="center" vertical="center"/>
    </xf>
    <xf numFmtId="0" fontId="4" fillId="3" borderId="39" xfId="4" applyFont="1" applyFill="1" applyBorder="1" applyAlignment="1">
      <alignment horizontal="center" vertical="center" wrapText="1"/>
    </xf>
    <xf numFmtId="0" fontId="4" fillId="3" borderId="40" xfId="4" applyFont="1" applyFill="1" applyBorder="1" applyAlignment="1">
      <alignment horizontal="center" vertical="center" wrapText="1"/>
    </xf>
    <xf numFmtId="2" fontId="8" fillId="3" borderId="41" xfId="4" applyNumberFormat="1" applyFont="1" applyFill="1" applyBorder="1" applyAlignment="1">
      <alignment horizontal="center" vertical="center" wrapText="1"/>
    </xf>
    <xf numFmtId="2" fontId="8" fillId="3" borderId="33" xfId="4" applyNumberFormat="1" applyFont="1" applyFill="1" applyBorder="1" applyAlignment="1">
      <alignment horizontal="center" vertical="center" wrapText="1"/>
    </xf>
    <xf numFmtId="0" fontId="4" fillId="3" borderId="32" xfId="4" applyFont="1" applyFill="1" applyBorder="1" applyAlignment="1">
      <alignment horizontal="center" vertical="center" wrapText="1"/>
    </xf>
    <xf numFmtId="0" fontId="4" fillId="3" borderId="11" xfId="4" applyFont="1" applyFill="1" applyBorder="1" applyAlignment="1">
      <alignment horizontal="center" vertical="center" wrapText="1"/>
    </xf>
    <xf numFmtId="164" fontId="4" fillId="3" borderId="33" xfId="5" quotePrefix="1" applyFont="1" applyFill="1" applyBorder="1" applyAlignment="1">
      <alignment horizontal="center" vertical="center"/>
    </xf>
    <xf numFmtId="0" fontId="4" fillId="3" borderId="33" xfId="4" quotePrefix="1" applyFont="1" applyFill="1" applyBorder="1" applyAlignment="1">
      <alignment horizontal="center" vertical="center" wrapText="1"/>
    </xf>
    <xf numFmtId="0" fontId="4" fillId="3" borderId="41" xfId="4" applyFont="1" applyFill="1" applyBorder="1" applyAlignment="1">
      <alignment horizontal="center" vertical="center" wrapText="1"/>
    </xf>
    <xf numFmtId="0" fontId="4" fillId="3" borderId="33" xfId="4" applyFont="1" applyFill="1" applyBorder="1" applyAlignment="1">
      <alignment horizontal="center" vertical="center" wrapText="1"/>
    </xf>
    <xf numFmtId="0" fontId="8" fillId="6" borderId="0" xfId="4" applyFont="1" applyFill="1" applyBorder="1" applyAlignment="1">
      <alignment horizontal="center" vertical="center" wrapText="1"/>
    </xf>
    <xf numFmtId="0" fontId="4" fillId="20" borderId="39" xfId="4" applyFont="1" applyFill="1" applyBorder="1" applyAlignment="1">
      <alignment horizontal="center" vertical="center" wrapText="1"/>
    </xf>
    <xf numFmtId="0" fontId="4" fillId="20" borderId="40" xfId="4" applyFont="1" applyFill="1" applyBorder="1" applyAlignment="1">
      <alignment horizontal="center" vertical="center" wrapText="1"/>
    </xf>
    <xf numFmtId="0" fontId="4" fillId="20" borderId="41" xfId="4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45" xfId="0" quotePrefix="1" applyFont="1" applyFill="1" applyBorder="1" applyAlignment="1">
      <alignment horizontal="center" vertical="center" wrapText="1"/>
    </xf>
    <xf numFmtId="0" fontId="4" fillId="3" borderId="3" xfId="0" quotePrefix="1" applyFont="1" applyFill="1" applyBorder="1" applyAlignment="1">
      <alignment horizontal="center" vertical="center" wrapText="1"/>
    </xf>
    <xf numFmtId="0" fontId="4" fillId="3" borderId="50" xfId="0" quotePrefix="1" applyFont="1" applyFill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3" fillId="0" borderId="16" xfId="0" applyFont="1" applyBorder="1" applyAlignment="1">
      <alignment horizontal="center" vertical="center" wrapText="1"/>
    </xf>
    <xf numFmtId="0" fontId="63" fillId="0" borderId="17" xfId="0" applyFont="1" applyBorder="1" applyAlignment="1">
      <alignment horizontal="center" vertical="center" wrapText="1"/>
    </xf>
    <xf numFmtId="0" fontId="63" fillId="0" borderId="27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66" fillId="27" borderId="13" xfId="0" applyFont="1" applyFill="1" applyBorder="1" applyAlignment="1">
      <alignment horizontal="center" vertical="center" wrapText="1"/>
    </xf>
    <xf numFmtId="0" fontId="66" fillId="27" borderId="14" xfId="0" applyFont="1" applyFill="1" applyBorder="1" applyAlignment="1">
      <alignment horizontal="center" vertical="center" wrapText="1"/>
    </xf>
    <xf numFmtId="0" fontId="66" fillId="27" borderId="15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3" fillId="0" borderId="74" xfId="0" applyFont="1" applyBorder="1" applyAlignment="1">
      <alignment horizontal="center" vertical="center"/>
    </xf>
    <xf numFmtId="0" fontId="23" fillId="0" borderId="69" xfId="0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 vertical="center"/>
    </xf>
    <xf numFmtId="0" fontId="23" fillId="0" borderId="76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0" fillId="0" borderId="4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5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87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3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6" borderId="32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65" fillId="0" borderId="30" xfId="0" applyFont="1" applyFill="1" applyBorder="1" applyAlignment="1">
      <alignment horizontal="left" vertical="center" wrapText="1"/>
    </xf>
    <xf numFmtId="0" fontId="65" fillId="0" borderId="31" xfId="0" applyFont="1" applyFill="1" applyBorder="1" applyAlignment="1">
      <alignment horizontal="left" vertical="center" wrapText="1"/>
    </xf>
    <xf numFmtId="0" fontId="69" fillId="29" borderId="71" xfId="0" applyFont="1" applyFill="1" applyBorder="1" applyAlignment="1">
      <alignment horizontal="center" vertical="center" wrapText="1"/>
    </xf>
    <xf numFmtId="0" fontId="69" fillId="29" borderId="72" xfId="0" applyFont="1" applyFill="1" applyBorder="1" applyAlignment="1">
      <alignment horizontal="center" vertical="center" wrapText="1"/>
    </xf>
    <xf numFmtId="0" fontId="69" fillId="29" borderId="88" xfId="0" applyFont="1" applyFill="1" applyBorder="1" applyAlignment="1">
      <alignment horizontal="center" vertical="center" wrapText="1"/>
    </xf>
    <xf numFmtId="0" fontId="65" fillId="0" borderId="39" xfId="0" applyFont="1" applyFill="1" applyBorder="1" applyAlignment="1">
      <alignment horizontal="left" vertical="center" wrapText="1"/>
    </xf>
    <xf numFmtId="0" fontId="65" fillId="0" borderId="40" xfId="0" applyFont="1" applyFill="1" applyBorder="1" applyAlignment="1">
      <alignment horizontal="left" vertical="center" wrapText="1"/>
    </xf>
    <xf numFmtId="0" fontId="65" fillId="0" borderId="32" xfId="0" applyFont="1" applyFill="1" applyBorder="1" applyAlignment="1">
      <alignment horizontal="left" vertical="center" wrapText="1"/>
    </xf>
    <xf numFmtId="0" fontId="65" fillId="0" borderId="11" xfId="0" applyFont="1" applyFill="1" applyBorder="1" applyAlignment="1">
      <alignment horizontal="left" vertical="center" wrapText="1"/>
    </xf>
    <xf numFmtId="0" fontId="65" fillId="0" borderId="34" xfId="0" applyFont="1" applyFill="1" applyBorder="1" applyAlignment="1">
      <alignment horizontal="left" vertical="center" wrapText="1"/>
    </xf>
    <xf numFmtId="0" fontId="65" fillId="0" borderId="25" xfId="0" applyFont="1" applyFill="1" applyBorder="1" applyAlignment="1">
      <alignment horizontal="left" vertical="center" wrapText="1"/>
    </xf>
    <xf numFmtId="0" fontId="69" fillId="29" borderId="13" xfId="0" applyFont="1" applyFill="1" applyBorder="1" applyAlignment="1">
      <alignment horizontal="center" vertical="center" wrapText="1"/>
    </xf>
    <xf numFmtId="0" fontId="69" fillId="29" borderId="14" xfId="0" applyFont="1" applyFill="1" applyBorder="1" applyAlignment="1">
      <alignment horizontal="center" vertical="center" wrapText="1"/>
    </xf>
    <xf numFmtId="0" fontId="69" fillId="29" borderId="15" xfId="0" applyFont="1" applyFill="1" applyBorder="1" applyAlignment="1">
      <alignment horizontal="center" vertical="center" wrapText="1"/>
    </xf>
    <xf numFmtId="0" fontId="65" fillId="0" borderId="45" xfId="0" applyFont="1" applyFill="1" applyBorder="1" applyAlignment="1">
      <alignment horizontal="left" vertical="center" wrapText="1"/>
    </xf>
    <xf numFmtId="0" fontId="65" fillId="0" borderId="3" xfId="0" applyFont="1" applyFill="1" applyBorder="1" applyAlignment="1">
      <alignment horizontal="left" vertical="center" wrapText="1"/>
    </xf>
    <xf numFmtId="0" fontId="65" fillId="0" borderId="1" xfId="0" applyFont="1" applyFill="1" applyBorder="1" applyAlignment="1">
      <alignment horizontal="left" vertical="center" wrapText="1"/>
    </xf>
    <xf numFmtId="0" fontId="65" fillId="0" borderId="36" xfId="0" applyFont="1" applyFill="1" applyBorder="1" applyAlignment="1">
      <alignment horizontal="left" vertical="center" wrapText="1"/>
    </xf>
    <xf numFmtId="0" fontId="65" fillId="0" borderId="12" xfId="0" applyFont="1" applyFill="1" applyBorder="1" applyAlignment="1">
      <alignment horizontal="left" vertical="center" wrapText="1"/>
    </xf>
    <xf numFmtId="0" fontId="65" fillId="0" borderId="23" xfId="0" applyFont="1" applyFill="1" applyBorder="1" applyAlignment="1">
      <alignment horizontal="left" vertical="center" wrapText="1"/>
    </xf>
    <xf numFmtId="0" fontId="65" fillId="0" borderId="24" xfId="0" applyFont="1" applyFill="1" applyBorder="1" applyAlignment="1">
      <alignment horizontal="left" vertical="center" wrapText="1"/>
    </xf>
    <xf numFmtId="0" fontId="65" fillId="0" borderId="83" xfId="0" applyFont="1" applyFill="1" applyBorder="1" applyAlignment="1">
      <alignment horizontal="left" vertical="center" wrapText="1"/>
    </xf>
    <xf numFmtId="0" fontId="66" fillId="27" borderId="16" xfId="0" applyFont="1" applyFill="1" applyBorder="1" applyAlignment="1">
      <alignment horizontal="center" vertical="center" wrapText="1"/>
    </xf>
    <xf numFmtId="0" fontId="66" fillId="27" borderId="17" xfId="0" applyFont="1" applyFill="1" applyBorder="1" applyAlignment="1">
      <alignment horizontal="center" vertical="center" wrapText="1"/>
    </xf>
    <xf numFmtId="0" fontId="66" fillId="27" borderId="27" xfId="0" applyFont="1" applyFill="1" applyBorder="1" applyAlignment="1">
      <alignment horizontal="center" vertical="center" wrapText="1"/>
    </xf>
    <xf numFmtId="0" fontId="64" fillId="26" borderId="16" xfId="0" applyFont="1" applyFill="1" applyBorder="1" applyAlignment="1">
      <alignment horizontal="center" vertical="center" wrapText="1"/>
    </xf>
    <xf numFmtId="0" fontId="64" fillId="26" borderId="17" xfId="0" applyFont="1" applyFill="1" applyBorder="1" applyAlignment="1">
      <alignment horizontal="center" vertical="center" wrapText="1"/>
    </xf>
    <xf numFmtId="0" fontId="64" fillId="26" borderId="27" xfId="0" applyFont="1" applyFill="1" applyBorder="1" applyAlignment="1">
      <alignment horizontal="center" vertical="center" wrapText="1"/>
    </xf>
    <xf numFmtId="0" fontId="66" fillId="27" borderId="42" xfId="0" applyFont="1" applyFill="1" applyBorder="1" applyAlignment="1">
      <alignment horizontal="center" vertical="center" wrapText="1"/>
    </xf>
    <xf numFmtId="0" fontId="65" fillId="6" borderId="21" xfId="0" applyFont="1" applyFill="1" applyBorder="1" applyAlignment="1">
      <alignment horizontal="center" vertical="center" wrapText="1"/>
    </xf>
    <xf numFmtId="0" fontId="65" fillId="6" borderId="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0" fontId="25" fillId="0" borderId="32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47" fillId="8" borderId="13" xfId="0" applyFont="1" applyFill="1" applyBorder="1" applyAlignment="1">
      <alignment horizontal="center" vertical="center"/>
    </xf>
    <xf numFmtId="0" fontId="47" fillId="8" borderId="14" xfId="0" applyFont="1" applyFill="1" applyBorder="1" applyAlignment="1">
      <alignment horizontal="center" vertical="center"/>
    </xf>
    <xf numFmtId="0" fontId="47" fillId="8" borderId="15" xfId="0" applyFont="1" applyFill="1" applyBorder="1" applyAlignment="1">
      <alignment horizontal="center" vertical="center"/>
    </xf>
    <xf numFmtId="0" fontId="25" fillId="0" borderId="30" xfId="0" applyFont="1" applyBorder="1" applyAlignment="1">
      <alignment horizontal="left" vertical="center"/>
    </xf>
    <xf numFmtId="0" fontId="25" fillId="0" borderId="31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83" xfId="0" applyBorder="1" applyAlignment="1">
      <alignment horizontal="left" vertical="center" wrapText="1"/>
    </xf>
    <xf numFmtId="0" fontId="21" fillId="10" borderId="16" xfId="0" applyFont="1" applyFill="1" applyBorder="1" applyAlignment="1">
      <alignment horizontal="center" vertical="center" wrapText="1"/>
    </xf>
    <xf numFmtId="0" fontId="21" fillId="10" borderId="17" xfId="0" applyFont="1" applyFill="1" applyBorder="1" applyAlignment="1">
      <alignment horizontal="center" vertical="center" wrapText="1"/>
    </xf>
    <xf numFmtId="0" fontId="21" fillId="10" borderId="27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23" fillId="6" borderId="15" xfId="0" applyFont="1" applyFill="1" applyBorder="1" applyAlignment="1">
      <alignment horizontal="center" vertical="center"/>
    </xf>
    <xf numFmtId="0" fontId="0" fillId="0" borderId="4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70" fillId="9" borderId="45" xfId="0" applyFont="1" applyFill="1" applyBorder="1" applyAlignment="1">
      <alignment horizontal="center" vertical="center"/>
    </xf>
    <xf numFmtId="0" fontId="70" fillId="9" borderId="3" xfId="0" applyFont="1" applyFill="1" applyBorder="1" applyAlignment="1">
      <alignment horizontal="center" vertical="center"/>
    </xf>
    <xf numFmtId="0" fontId="70" fillId="9" borderId="1" xfId="0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23" fillId="8" borderId="16" xfId="0" applyFont="1" applyFill="1" applyBorder="1" applyAlignment="1">
      <alignment horizontal="center" vertical="center"/>
    </xf>
    <xf numFmtId="0" fontId="23" fillId="8" borderId="17" xfId="0" applyFont="1" applyFill="1" applyBorder="1" applyAlignment="1">
      <alignment horizontal="center" vertical="center"/>
    </xf>
    <xf numFmtId="0" fontId="23" fillId="8" borderId="42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8" borderId="71" xfId="0" applyFont="1" applyFill="1" applyBorder="1" applyAlignment="1">
      <alignment horizontal="center" vertical="center" wrapText="1"/>
    </xf>
    <xf numFmtId="0" fontId="23" fillId="8" borderId="72" xfId="0" applyFont="1" applyFill="1" applyBorder="1" applyAlignment="1">
      <alignment horizontal="center" vertical="center" wrapText="1"/>
    </xf>
    <xf numFmtId="0" fontId="23" fillId="8" borderId="73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3" fillId="5" borderId="75" xfId="0" applyFont="1" applyFill="1" applyBorder="1" applyAlignment="1">
      <alignment horizontal="center" vertical="center" wrapText="1"/>
    </xf>
    <xf numFmtId="0" fontId="23" fillId="5" borderId="76" xfId="0" applyFont="1" applyFill="1" applyBorder="1" applyAlignment="1">
      <alignment horizontal="center" vertical="center" wrapText="1"/>
    </xf>
    <xf numFmtId="0" fontId="23" fillId="5" borderId="38" xfId="0" applyFont="1" applyFill="1" applyBorder="1" applyAlignment="1">
      <alignment horizontal="center" vertical="center" wrapText="1"/>
    </xf>
    <xf numFmtId="0" fontId="0" fillId="6" borderId="36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left" vertical="center" wrapText="1"/>
    </xf>
    <xf numFmtId="0" fontId="71" fillId="9" borderId="45" xfId="0" applyFont="1" applyFill="1" applyBorder="1" applyAlignment="1">
      <alignment horizontal="center" vertical="center"/>
    </xf>
    <xf numFmtId="0" fontId="71" fillId="9" borderId="3" xfId="0" applyFont="1" applyFill="1" applyBorder="1" applyAlignment="1">
      <alignment horizontal="center" vertical="center"/>
    </xf>
    <xf numFmtId="0" fontId="71" fillId="9" borderId="1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/>
    </xf>
    <xf numFmtId="0" fontId="20" fillId="31" borderId="45" xfId="0" applyFont="1" applyFill="1" applyBorder="1" applyAlignment="1">
      <alignment horizontal="center" vertical="center" wrapText="1"/>
    </xf>
    <xf numFmtId="0" fontId="20" fillId="31" borderId="3" xfId="0" applyFont="1" applyFill="1" applyBorder="1" applyAlignment="1">
      <alignment horizontal="center" vertical="center" wrapText="1"/>
    </xf>
    <xf numFmtId="0" fontId="20" fillId="31" borderId="1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6" fillId="0" borderId="24" xfId="0" applyFont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 wrapText="1"/>
    </xf>
    <xf numFmtId="0" fontId="11" fillId="7" borderId="40" xfId="0" applyFont="1" applyFill="1" applyBorder="1" applyAlignment="1">
      <alignment horizontal="center" vertical="center" wrapText="1"/>
    </xf>
    <xf numFmtId="0" fontId="11" fillId="7" borderId="41" xfId="0" applyFont="1" applyFill="1" applyBorder="1" applyAlignment="1">
      <alignment horizontal="center" vertical="center" wrapText="1"/>
    </xf>
    <xf numFmtId="164" fontId="20" fillId="31" borderId="45" xfId="5" applyFont="1" applyFill="1" applyBorder="1" applyAlignment="1">
      <alignment horizontal="center" vertical="justify" wrapText="1"/>
    </xf>
    <xf numFmtId="164" fontId="20" fillId="31" borderId="3" xfId="5" applyFont="1" applyFill="1" applyBorder="1" applyAlignment="1">
      <alignment horizontal="center" vertical="justify" wrapText="1"/>
    </xf>
    <xf numFmtId="164" fontId="20" fillId="31" borderId="1" xfId="5" applyFont="1" applyFill="1" applyBorder="1" applyAlignment="1">
      <alignment horizontal="center" vertical="justify" wrapText="1"/>
    </xf>
    <xf numFmtId="0" fontId="29" fillId="7" borderId="3" xfId="0" applyFont="1" applyFill="1" applyBorder="1" applyAlignment="1">
      <alignment horizontal="center" vertical="center" wrapText="1"/>
    </xf>
    <xf numFmtId="0" fontId="39" fillId="0" borderId="4" xfId="0" applyFont="1" applyBorder="1" applyAlignment="1">
      <alignment horizontal="left" vertical="center" wrapText="1"/>
    </xf>
    <xf numFmtId="0" fontId="11" fillId="7" borderId="0" xfId="0" applyFont="1" applyFill="1" applyBorder="1" applyAlignment="1">
      <alignment horizontal="center" vertical="center" wrapText="1"/>
    </xf>
  </cellXfs>
  <cellStyles count="20">
    <cellStyle name="Moeda" xfId="1" builtinId="4"/>
    <cellStyle name="Moeda 2" xfId="15"/>
    <cellStyle name="Moeda 2 2" xfId="13"/>
    <cellStyle name="Normal" xfId="0" builtinId="0"/>
    <cellStyle name="Normal 2" xfId="4"/>
    <cellStyle name="Normal 2 2" xfId="7"/>
    <cellStyle name="Normal 2 2 2" xfId="9"/>
    <cellStyle name="Normal 3" xfId="6"/>
    <cellStyle name="Normal 3 3" xfId="14"/>
    <cellStyle name="Normal 35" xfId="8"/>
    <cellStyle name="Normal 4" xfId="17"/>
    <cellStyle name="Porcentagem" xfId="2" builtinId="5"/>
    <cellStyle name="Porcentagem 2" xfId="12"/>
    <cellStyle name="Separador de milhares 2" xfId="10"/>
    <cellStyle name="Separador de milhares 3" xfId="11"/>
    <cellStyle name="Vírgula" xfId="3" builtinId="3"/>
    <cellStyle name="Vírgula 2" xfId="5"/>
    <cellStyle name="Vírgula 2 2 2" xfId="16"/>
    <cellStyle name="Vírgula 3" xfId="18"/>
    <cellStyle name="Vírgula 4" xfId="19"/>
  </cellStyles>
  <dxfs count="105"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99CC00"/>
      <color rgb="FFFF9933"/>
      <color rgb="FFFFFF00"/>
      <color rgb="FFDC3624"/>
      <color rgb="FFFF6600"/>
      <color rgb="FFFFCCFF"/>
      <color rgb="FFFF3300"/>
      <color rgb="FFFF00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externalLink" Target="externalLinks/externalLink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5.xml"/><Relationship Id="rId30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HP\Users\pmc\Documents\Downloads\REVIS&#195;O%2002%20-%20L&#211;GICA\LOGICA%20EM%2022-07-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ONARDO\01_SEDUC\01_Boletins\Boletim%20Abril%202005_R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Extenso/VExtenso.xl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OB\4%20-%20NPEE\PROJETOS%20ANALISAR\2017\VARZEA%20GRANDE\EE%20S&#195;O%20SIM&#195;O%20-%20CORRETA\Or&#231;amento\Quantitativo\QUANTITATIVO%20ARQUITET&#212;NICO\Quantitativo%20ARQ%20_EE_S&#227;o%20Sim&#227;o_V&#225;rzea%20Grande%20jul20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0498658112/Desktop/QUANTITATIVO%20MARIO%20DE%20CASTRO/Planilha%20Mario%20de%20Castro/Quantifica&#231;&#227;o%20E.E%20MARIO%20DE%20CASTRO%20-%20GLAUCI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OB\4%20-%20NPEE\PROJETOS%20ANALISAR\2017\VARZEA%20GRANDE\EE%20S&#195;O%20SIM&#195;O%20-%20CORRETA\Or&#231;amento\Quantitativo\Quantitativo%20SPDA_EE%20S&#227;o%20Sim&#227;o_VG-MT_jul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API-SINTETICO"/>
      <sheetName val="SINAPI-01-2014"/>
      <sheetName val="MAPA COTAÇÃO (MC01)"/>
      <sheetName val="estimativa de custo IRMA DULCE"/>
      <sheetName val="ELÉTRICA"/>
      <sheetName val="INFRA"/>
      <sheetName val="LÓGICA 2"/>
      <sheetName val="LÓGICA 22"/>
    </sheetNames>
    <sheetDataSet>
      <sheetData sheetId="0"/>
      <sheetData sheetId="1"/>
      <sheetData sheetId="2"/>
      <sheetData sheetId="3">
        <row r="6">
          <cell r="B6" t="str">
            <v>CASA IRMÃ DULCE</v>
          </cell>
        </row>
        <row r="7">
          <cell r="I7">
            <v>0.27279999999999999</v>
          </cell>
        </row>
      </sheetData>
      <sheetData sheetId="4">
        <row r="25">
          <cell r="F25">
            <v>25.390000000000004</v>
          </cell>
        </row>
      </sheetData>
      <sheetData sheetId="5">
        <row r="27">
          <cell r="F27">
            <v>2.8000000000000003</v>
          </cell>
        </row>
        <row r="44">
          <cell r="F44">
            <v>10.09</v>
          </cell>
        </row>
        <row r="62">
          <cell r="F62">
            <v>12.790000000000001</v>
          </cell>
        </row>
        <row r="80">
          <cell r="F80">
            <v>46.55</v>
          </cell>
        </row>
        <row r="98">
          <cell r="F98">
            <v>27</v>
          </cell>
        </row>
        <row r="116">
          <cell r="F116">
            <v>29.27</v>
          </cell>
        </row>
        <row r="134">
          <cell r="F134">
            <v>22.459999999999997</v>
          </cell>
        </row>
        <row r="152">
          <cell r="F152">
            <v>21.23</v>
          </cell>
        </row>
        <row r="170">
          <cell r="F170">
            <v>6.5099999999999989</v>
          </cell>
        </row>
        <row r="188">
          <cell r="F188">
            <v>4.9800000000000004</v>
          </cell>
        </row>
        <row r="206">
          <cell r="F206">
            <v>22.68</v>
          </cell>
        </row>
        <row r="224">
          <cell r="F224">
            <v>13.27</v>
          </cell>
        </row>
        <row r="242">
          <cell r="F242">
            <v>2.9060000000000006</v>
          </cell>
        </row>
        <row r="261">
          <cell r="F261">
            <v>2.6460000000000004</v>
          </cell>
        </row>
        <row r="279">
          <cell r="F279">
            <v>0.39760000000000001</v>
          </cell>
        </row>
        <row r="297">
          <cell r="F297">
            <v>3.98</v>
          </cell>
        </row>
        <row r="315">
          <cell r="F315">
            <v>4.2699999999999996</v>
          </cell>
        </row>
        <row r="334">
          <cell r="F334">
            <v>125.10000000000001</v>
          </cell>
        </row>
        <row r="352">
          <cell r="F352">
            <v>9.11</v>
          </cell>
        </row>
        <row r="370">
          <cell r="F370">
            <v>43.54</v>
          </cell>
        </row>
        <row r="388">
          <cell r="F388">
            <v>11.78</v>
          </cell>
        </row>
        <row r="406">
          <cell r="F406">
            <v>104.63000000000001</v>
          </cell>
        </row>
        <row r="424">
          <cell r="F424">
            <v>92.77</v>
          </cell>
        </row>
        <row r="442">
          <cell r="F442">
            <v>130.80000000000001</v>
          </cell>
        </row>
        <row r="460">
          <cell r="F460">
            <v>68.009999999999991</v>
          </cell>
        </row>
        <row r="478">
          <cell r="F478">
            <v>6.5399999999999991</v>
          </cell>
        </row>
        <row r="496">
          <cell r="F496">
            <v>77.89</v>
          </cell>
        </row>
        <row r="514">
          <cell r="F514">
            <v>33.94</v>
          </cell>
        </row>
        <row r="532">
          <cell r="F532">
            <v>3.9999999999999996</v>
          </cell>
        </row>
      </sheetData>
      <sheetData sheetId="6">
        <row r="24">
          <cell r="F24">
            <v>8.7899999999999991</v>
          </cell>
        </row>
        <row r="42">
          <cell r="F42">
            <v>20.28</v>
          </cell>
        </row>
        <row r="78">
          <cell r="F78">
            <v>54.65</v>
          </cell>
        </row>
        <row r="96">
          <cell r="F96">
            <v>1.37</v>
          </cell>
        </row>
        <row r="116">
          <cell r="F116">
            <v>93.740000000000009</v>
          </cell>
        </row>
        <row r="134">
          <cell r="F134">
            <v>22.82</v>
          </cell>
        </row>
        <row r="155">
          <cell r="F155">
            <v>372.28999999999996</v>
          </cell>
        </row>
        <row r="177">
          <cell r="F177">
            <v>1567.1299999999997</v>
          </cell>
        </row>
        <row r="195">
          <cell r="F195">
            <v>1038.8</v>
          </cell>
        </row>
        <row r="213">
          <cell r="F213">
            <v>300.60000000000002</v>
          </cell>
        </row>
        <row r="231">
          <cell r="F231">
            <v>41.78</v>
          </cell>
        </row>
        <row r="249">
          <cell r="F249">
            <v>48.029999999999994</v>
          </cell>
        </row>
        <row r="267">
          <cell r="F267">
            <v>55.91</v>
          </cell>
        </row>
        <row r="285">
          <cell r="F285">
            <v>11.819999999999999</v>
          </cell>
        </row>
        <row r="303">
          <cell r="F303">
            <v>1.5000000000000002</v>
          </cell>
        </row>
        <row r="321">
          <cell r="F321">
            <v>2.59</v>
          </cell>
        </row>
        <row r="339">
          <cell r="F339">
            <v>3821.9100000000003</v>
          </cell>
        </row>
        <row r="357">
          <cell r="F357">
            <v>24.71</v>
          </cell>
        </row>
        <row r="374">
          <cell r="F374">
            <v>16.48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um"/>
      <sheetName val="Plan2"/>
      <sheetName val="Plan3"/>
      <sheetName val="cobertura quadra"/>
      <sheetName val="CRON REF"/>
      <sheetName val="cobertura_quadra"/>
      <sheetName val="CRON_REF"/>
    </sheetNames>
    <sheetDataSet>
      <sheetData sheetId="0" refreshError="1">
        <row r="3">
          <cell r="A3" t="str">
            <v>Obra :001 -  001</v>
          </cell>
        </row>
        <row r="4">
          <cell r="A4" t="str">
            <v xml:space="preserve">Total da Planilha - </v>
          </cell>
          <cell r="B4" t="str">
            <v>364.742,2448</v>
          </cell>
        </row>
        <row r="5">
          <cell r="A5" t="str">
            <v>Cód. Tarefa</v>
          </cell>
          <cell r="B5" t="str">
            <v>Descrição</v>
          </cell>
          <cell r="C5" t="str">
            <v>Unidade</v>
          </cell>
          <cell r="D5" t="str">
            <v>Valor Unitário</v>
          </cell>
        </row>
        <row r="6">
          <cell r="A6" t="str">
            <v>001</v>
          </cell>
          <cell r="B6" t="str">
            <v>BOLETIM DE REFERÊNCIA DE PREÇOS - ABRIL 2005</v>
          </cell>
          <cell r="D6">
            <v>364742.24479999999</v>
          </cell>
        </row>
        <row r="7">
          <cell r="A7" t="str">
            <v>001.01</v>
          </cell>
          <cell r="B7" t="str">
            <v>DEMOLIÇÃO E RETIRADA</v>
          </cell>
          <cell r="D7">
            <v>1590.6348</v>
          </cell>
        </row>
        <row r="8">
          <cell r="A8" t="str">
            <v>001.01.00020</v>
          </cell>
          <cell r="B8" t="str">
            <v>Demolição de cobertura construída c/telha de barro ou cerâmica</v>
          </cell>
          <cell r="C8" t="str">
            <v>M2</v>
          </cell>
          <cell r="D8">
            <v>2.6091000000000002</v>
          </cell>
        </row>
        <row r="9">
          <cell r="A9" t="str">
            <v>001.01.00040</v>
          </cell>
          <cell r="B9" t="str">
            <v>Demolição de cobertura construída c/telha de cimento amianto, alumínio, plastico e ferro galvanizado</v>
          </cell>
          <cell r="C9" t="str">
            <v>M2</v>
          </cell>
          <cell r="D9">
            <v>1.0871999999999999</v>
          </cell>
        </row>
        <row r="10">
          <cell r="A10" t="str">
            <v>001.01.00060</v>
          </cell>
          <cell r="B10" t="str">
            <v>Demolição de madeiramento de telhado constituído por tesouras (telha de barro)</v>
          </cell>
          <cell r="C10" t="str">
            <v>M2</v>
          </cell>
          <cell r="D10">
            <v>3.9278</v>
          </cell>
        </row>
        <row r="11">
          <cell r="A11" t="str">
            <v>001.01.00080</v>
          </cell>
          <cell r="B11" t="str">
            <v>Demolição de madeiramento de telhado constituído por tesouras (telha de cimento aminato e alumínio)</v>
          </cell>
          <cell r="C11" t="str">
            <v>M2</v>
          </cell>
          <cell r="D11">
            <v>3.3856999999999999</v>
          </cell>
        </row>
        <row r="12">
          <cell r="A12" t="str">
            <v>001.01.00100</v>
          </cell>
          <cell r="B12" t="str">
            <v>Demolição de madeiramento de telhado tipo pontaletados (telhas de barro)</v>
          </cell>
          <cell r="C12" t="str">
            <v>M2</v>
          </cell>
          <cell r="D12">
            <v>2.9251</v>
          </cell>
        </row>
        <row r="13">
          <cell r="A13" t="str">
            <v>001.01.00120</v>
          </cell>
          <cell r="B13" t="str">
            <v>Demolição de madeiramento de telhado tipo pontaletados (telhas de cimento aminato ou alumínio)</v>
          </cell>
          <cell r="C13" t="str">
            <v>M2</v>
          </cell>
          <cell r="D13">
            <v>2.9251</v>
          </cell>
        </row>
        <row r="14">
          <cell r="A14" t="str">
            <v>001.01.00130</v>
          </cell>
          <cell r="B14" t="str">
            <v>Demolição de Ripamento em Cobertura Barro ou Cerâmica</v>
          </cell>
          <cell r="C14" t="str">
            <v>m2</v>
          </cell>
          <cell r="D14">
            <v>0.19040000000000001</v>
          </cell>
        </row>
        <row r="15">
          <cell r="A15" t="str">
            <v>001.01.00140</v>
          </cell>
          <cell r="B15" t="str">
            <v>Demolição de estrutura de ferro  para  telhados</v>
          </cell>
          <cell r="C15" t="str">
            <v>M2</v>
          </cell>
          <cell r="D15">
            <v>8.0597999999999992</v>
          </cell>
        </row>
        <row r="16">
          <cell r="A16" t="str">
            <v>001.01.00160</v>
          </cell>
          <cell r="B16" t="str">
            <v>Retirada de cobertura de madeira - caibros e vigas</v>
          </cell>
          <cell r="C16" t="str">
            <v>ML</v>
          </cell>
          <cell r="D16">
            <v>0.20039999999999999</v>
          </cell>
        </row>
        <row r="17">
          <cell r="A17" t="str">
            <v>001.01.00180</v>
          </cell>
          <cell r="B17" t="str">
            <v>Retirada de cobertura de madeira - ripas</v>
          </cell>
          <cell r="C17" t="str">
            <v>ML</v>
          </cell>
          <cell r="D17">
            <v>0.1002</v>
          </cell>
        </row>
        <row r="18">
          <cell r="A18" t="str">
            <v>001.01.00200</v>
          </cell>
          <cell r="B18" t="str">
            <v>Retirada de cobertura em telhas de barro s/aproveitamento das cumeeiras e espigões</v>
          </cell>
          <cell r="C18" t="str">
            <v>UN</v>
          </cell>
          <cell r="D18">
            <v>0.27660000000000001</v>
          </cell>
        </row>
        <row r="19">
          <cell r="A19" t="str">
            <v>001.01.00220</v>
          </cell>
          <cell r="B19" t="str">
            <v>Retirada de cobertura em telhas de cimento aminato, alumínio, plástico ou ferro galvanizado</v>
          </cell>
          <cell r="C19" t="str">
            <v>UN</v>
          </cell>
          <cell r="D19">
            <v>3.6886000000000001</v>
          </cell>
        </row>
        <row r="20">
          <cell r="A20" t="str">
            <v>001.01.00240</v>
          </cell>
          <cell r="B20" t="str">
            <v>Retirada de cobertura em telhas cerãmicas ( plan , colonial , francesa , etc. )</v>
          </cell>
          <cell r="C20" t="str">
            <v>M2</v>
          </cell>
          <cell r="D20">
            <v>2.4449999999999998</v>
          </cell>
        </row>
        <row r="21">
          <cell r="A21" t="str">
            <v>001.01.00260</v>
          </cell>
          <cell r="B21" t="str">
            <v>Retirada de cobertura em telhas de cimento aminato, alumínio, plástico e c.g.</v>
          </cell>
          <cell r="C21" t="str">
            <v>M2</v>
          </cell>
          <cell r="D21">
            <v>1.3028999999999999</v>
          </cell>
        </row>
        <row r="22">
          <cell r="A22" t="str">
            <v>001.01.00280</v>
          </cell>
          <cell r="B22" t="str">
            <v>Retirada de madeiramento de telhado constituído por tesouras (telha de barro)</v>
          </cell>
          <cell r="C22" t="str">
            <v>M2</v>
          </cell>
          <cell r="D22">
            <v>3.0061</v>
          </cell>
        </row>
        <row r="23">
          <cell r="A23" t="str">
            <v>001.01.00300</v>
          </cell>
          <cell r="B23" t="str">
            <v>Retirada de madeiramento de telhado constituído por tesouras (telha de cimento amianto ou alumínio)</v>
          </cell>
          <cell r="C23" t="str">
            <v>M2</v>
          </cell>
          <cell r="D23">
            <v>2.5051000000000001</v>
          </cell>
        </row>
        <row r="24">
          <cell r="A24" t="str">
            <v>001.01.00320</v>
          </cell>
          <cell r="B24" t="str">
            <v>Retirada de madeiramento de telhado tipo pontaletados (telhas de barro)</v>
          </cell>
          <cell r="C24" t="str">
            <v>M2</v>
          </cell>
          <cell r="D24">
            <v>2.004</v>
          </cell>
        </row>
        <row r="25">
          <cell r="A25" t="str">
            <v>001.01.00340</v>
          </cell>
          <cell r="B25" t="str">
            <v>Retirada de madeiramento de telhado tipo pontaletados (telhas de cimento amianto ou alumínio)</v>
          </cell>
          <cell r="C25" t="str">
            <v>M2</v>
          </cell>
          <cell r="D25">
            <v>1.8036000000000001</v>
          </cell>
        </row>
        <row r="26">
          <cell r="A26" t="str">
            <v>001.01.00360</v>
          </cell>
          <cell r="B26" t="str">
            <v>Retirada de calhas e rufos metálicos</v>
          </cell>
          <cell r="C26" t="str">
            <v>M2</v>
          </cell>
          <cell r="D26">
            <v>3.0522</v>
          </cell>
        </row>
        <row r="27">
          <cell r="A27" t="str">
            <v>001.01.00380</v>
          </cell>
          <cell r="B27" t="str">
            <v>Demolição de revestimento de argamassa de cal e areia (inclusive emboço)</v>
          </cell>
          <cell r="C27" t="str">
            <v>M2</v>
          </cell>
          <cell r="D27">
            <v>1.9035</v>
          </cell>
        </row>
        <row r="28">
          <cell r="A28" t="str">
            <v>001.01.00400</v>
          </cell>
          <cell r="B28" t="str">
            <v>Demolição de revestimento de argamassa mista (inclusive emboço)</v>
          </cell>
          <cell r="C28" t="str">
            <v>M2</v>
          </cell>
          <cell r="D28">
            <v>2.8553000000000002</v>
          </cell>
        </row>
        <row r="29">
          <cell r="A29" t="str">
            <v>001.01.00420</v>
          </cell>
          <cell r="B29" t="str">
            <v>Demolição de revestimento de argamassa de cimento e areia (inclusive emboço)</v>
          </cell>
          <cell r="C29" t="str">
            <v>M2</v>
          </cell>
          <cell r="D29">
            <v>7.3181000000000003</v>
          </cell>
        </row>
        <row r="30">
          <cell r="A30" t="str">
            <v>001.01.00440</v>
          </cell>
          <cell r="B30" t="str">
            <v>Demolição de azulejos pastilas ladrilhos cerâmicos ou base de gres (inclusive emboço)</v>
          </cell>
          <cell r="C30" t="str">
            <v>M2</v>
          </cell>
          <cell r="D30">
            <v>7.0641999999999996</v>
          </cell>
        </row>
        <row r="31">
          <cell r="A31" t="str">
            <v>001.01.00460</v>
          </cell>
          <cell r="B31" t="str">
            <v>Demolição de mármore, pedra ou granito (inclusive emboço)</v>
          </cell>
          <cell r="C31" t="str">
            <v>M2</v>
          </cell>
          <cell r="D31">
            <v>7.0641999999999996</v>
          </cell>
        </row>
        <row r="32">
          <cell r="A32" t="str">
            <v>001.01.00480</v>
          </cell>
          <cell r="B32" t="str">
            <v>Demolição de quadro negro</v>
          </cell>
          <cell r="C32" t="str">
            <v>M2</v>
          </cell>
          <cell r="D32">
            <v>7.0641999999999996</v>
          </cell>
        </row>
        <row r="33">
          <cell r="A33" t="str">
            <v>001.01.00500</v>
          </cell>
          <cell r="B33" t="str">
            <v>Retirada de revestimento com mármore, pedra ou granito (inclusive emboço)</v>
          </cell>
          <cell r="C33" t="str">
            <v>M2</v>
          </cell>
          <cell r="D33">
            <v>6.5143000000000004</v>
          </cell>
        </row>
        <row r="34">
          <cell r="A34" t="str">
            <v>001.01.00520</v>
          </cell>
          <cell r="B34" t="str">
            <v>Demolição de forro de estuque (inclusive entarugamento de madeira)</v>
          </cell>
          <cell r="C34" t="str">
            <v>M2</v>
          </cell>
          <cell r="D34">
            <v>2.0588000000000002</v>
          </cell>
        </row>
        <row r="35">
          <cell r="A35" t="str">
            <v>001.01.00540</v>
          </cell>
          <cell r="B35" t="str">
            <v>Demolição de forro de madeira ou de gesso (incluso entarugamento)</v>
          </cell>
          <cell r="C35" t="str">
            <v>M2</v>
          </cell>
          <cell r="D35">
            <v>1.7394000000000001</v>
          </cell>
        </row>
        <row r="36">
          <cell r="A36" t="str">
            <v>001.01.00560</v>
          </cell>
          <cell r="B36" t="str">
            <v>Demolição somente das tábuas ou chapas de madeira ou de gesso</v>
          </cell>
          <cell r="C36" t="str">
            <v>M2</v>
          </cell>
          <cell r="D36">
            <v>2.6091000000000002</v>
          </cell>
        </row>
        <row r="37">
          <cell r="A37" t="str">
            <v>001.01.00580</v>
          </cell>
          <cell r="B37" t="str">
            <v>Demolição de lambris de madeira inclusive entarugamento</v>
          </cell>
          <cell r="C37" t="str">
            <v>M2</v>
          </cell>
          <cell r="D37">
            <v>7.0641999999999996</v>
          </cell>
        </row>
        <row r="38">
          <cell r="A38" t="str">
            <v>001.01.00600</v>
          </cell>
          <cell r="B38" t="str">
            <v>Demolição somente de chapas ou placas de lambris ou madeira</v>
          </cell>
          <cell r="C38" t="str">
            <v>M2</v>
          </cell>
          <cell r="D38">
            <v>4.3993000000000002</v>
          </cell>
        </row>
        <row r="39">
          <cell r="A39" t="str">
            <v>001.01.00620</v>
          </cell>
          <cell r="B39" t="str">
            <v>Retirada de todo o forro inclusive vigas e sarrafos</v>
          </cell>
          <cell r="C39" t="str">
            <v>M2</v>
          </cell>
          <cell r="D39">
            <v>9.2608999999999995</v>
          </cell>
        </row>
        <row r="40">
          <cell r="A40" t="str">
            <v>001.01.00640</v>
          </cell>
          <cell r="B40" t="str">
            <v>Retirada de todos os lambris inclusive caibros e sarrafos</v>
          </cell>
          <cell r="C40" t="str">
            <v>M2</v>
          </cell>
          <cell r="D40">
            <v>9.2608999999999995</v>
          </cell>
        </row>
        <row r="41">
          <cell r="A41" t="str">
            <v>001.01.00660</v>
          </cell>
          <cell r="B41" t="str">
            <v>Demolição de alvenaria de tijolos maciços</v>
          </cell>
          <cell r="C41" t="str">
            <v>M3</v>
          </cell>
          <cell r="D41">
            <v>17.935300000000002</v>
          </cell>
        </row>
        <row r="42">
          <cell r="A42" t="str">
            <v>001.01.00680</v>
          </cell>
          <cell r="B42" t="str">
            <v>Retirada de alvenaria de tijolos maciços</v>
          </cell>
          <cell r="C42" t="str">
            <v>M3</v>
          </cell>
          <cell r="D42">
            <v>33.967100000000002</v>
          </cell>
        </row>
        <row r="43">
          <cell r="A43" t="str">
            <v>001.01.00700</v>
          </cell>
          <cell r="B43" t="str">
            <v>Demolição de alvenaria de tijolos cerâmicos</v>
          </cell>
          <cell r="C43" t="str">
            <v>M3</v>
          </cell>
          <cell r="D43">
            <v>13.045400000000001</v>
          </cell>
        </row>
        <row r="44">
          <cell r="A44" t="str">
            <v>001.01.00720</v>
          </cell>
          <cell r="B44" t="str">
            <v>Demolição de alvenaria de blocos de concreto</v>
          </cell>
          <cell r="C44" t="str">
            <v>M3</v>
          </cell>
          <cell r="D44">
            <v>13.045400000000001</v>
          </cell>
        </row>
        <row r="45">
          <cell r="A45" t="str">
            <v>001.01.00740</v>
          </cell>
          <cell r="B45" t="str">
            <v>Retirada de alvenaria de blocos de concreto</v>
          </cell>
          <cell r="C45" t="str">
            <v>M3</v>
          </cell>
          <cell r="D45">
            <v>26.090800000000002</v>
          </cell>
        </row>
        <row r="46">
          <cell r="A46" t="str">
            <v>001.01.00760</v>
          </cell>
          <cell r="B46" t="str">
            <v>Demolição de alvenaria de pedra</v>
          </cell>
          <cell r="C46" t="str">
            <v>M3</v>
          </cell>
          <cell r="D46">
            <v>33.1633</v>
          </cell>
        </row>
        <row r="47">
          <cell r="A47" t="str">
            <v>001.01.00780</v>
          </cell>
          <cell r="B47" t="str">
            <v>Retirada de alvenaria de pedra</v>
          </cell>
          <cell r="C47" t="str">
            <v>M3</v>
          </cell>
          <cell r="D47">
            <v>37.511800000000001</v>
          </cell>
        </row>
        <row r="48">
          <cell r="A48" t="str">
            <v>001.01.00800</v>
          </cell>
          <cell r="B48" t="str">
            <v>Demolição de alvenaria de placas de concreto celular</v>
          </cell>
          <cell r="C48" t="str">
            <v>M3</v>
          </cell>
          <cell r="D48">
            <v>7.6139999999999999</v>
          </cell>
        </row>
        <row r="49">
          <cell r="A49" t="str">
            <v>001.01.00820</v>
          </cell>
          <cell r="B49" t="str">
            <v>Retirada de alvenaria de placas de concreto celular</v>
          </cell>
          <cell r="C49" t="str">
            <v>M3</v>
          </cell>
          <cell r="D49">
            <v>13.028600000000001</v>
          </cell>
        </row>
        <row r="50">
          <cell r="A50" t="str">
            <v>001.01.00840</v>
          </cell>
          <cell r="B50" t="str">
            <v>Demolição de alvenaria de adobo</v>
          </cell>
          <cell r="C50" t="str">
            <v>M3</v>
          </cell>
          <cell r="D50">
            <v>19.035</v>
          </cell>
        </row>
        <row r="51">
          <cell r="A51" t="str">
            <v>001.01.00860</v>
          </cell>
          <cell r="B51" t="str">
            <v>Demolição de elemento vazado</v>
          </cell>
          <cell r="C51" t="str">
            <v>M2</v>
          </cell>
          <cell r="D51">
            <v>24.4664</v>
          </cell>
        </row>
        <row r="52">
          <cell r="A52" t="str">
            <v>001.01.00880</v>
          </cell>
          <cell r="B52" t="str">
            <v>Demolição inclusive entarugamento de paredes divisórias de tábuas e chapas</v>
          </cell>
          <cell r="C52" t="str">
            <v>M2</v>
          </cell>
          <cell r="D52">
            <v>3.8069999999999999</v>
          </cell>
        </row>
        <row r="53">
          <cell r="A53" t="str">
            <v>001.01.00900</v>
          </cell>
          <cell r="B53" t="str">
            <v>Demolição apenas das tábuas ou chapas das paredes divisórias</v>
          </cell>
          <cell r="C53" t="str">
            <v>M2</v>
          </cell>
          <cell r="D53">
            <v>2.6648999999999998</v>
          </cell>
        </row>
        <row r="54">
          <cell r="A54" t="str">
            <v>001.01.00920</v>
          </cell>
          <cell r="B54" t="str">
            <v>Retirada de divisória tipo naval</v>
          </cell>
          <cell r="C54" t="str">
            <v>m2</v>
          </cell>
          <cell r="D54">
            <v>1.5227999999999999</v>
          </cell>
        </row>
        <row r="55">
          <cell r="A55" t="str">
            <v>001.01.00940</v>
          </cell>
          <cell r="B55" t="str">
            <v>Demolição de alvenaria de fundação de tijolos maciços inclusive escavações necessárias</v>
          </cell>
          <cell r="C55" t="str">
            <v>M3</v>
          </cell>
          <cell r="D55">
            <v>67.934200000000004</v>
          </cell>
        </row>
        <row r="56">
          <cell r="A56" t="str">
            <v>001.01.00960</v>
          </cell>
          <cell r="B56" t="str">
            <v>Demolição de alvenaria de fundações de pedra</v>
          </cell>
          <cell r="C56" t="str">
            <v>M3</v>
          </cell>
          <cell r="D56">
            <v>34.262999999999998</v>
          </cell>
        </row>
        <row r="57">
          <cell r="A57" t="str">
            <v>001.01.00980</v>
          </cell>
          <cell r="B57" t="str">
            <v>Demolição de concreto simples em fundação</v>
          </cell>
          <cell r="C57" t="str">
            <v>M3</v>
          </cell>
          <cell r="D57">
            <v>58.915799999999997</v>
          </cell>
        </row>
        <row r="58">
          <cell r="A58" t="str">
            <v>001.01.01000</v>
          </cell>
          <cell r="B58" t="str">
            <v>Demolição de concreto armado em fundações</v>
          </cell>
          <cell r="C58" t="str">
            <v>M3</v>
          </cell>
          <cell r="D58">
            <v>150.42070000000001</v>
          </cell>
        </row>
        <row r="59">
          <cell r="A59" t="str">
            <v>001.01.01020</v>
          </cell>
          <cell r="B59" t="str">
            <v>Demolição de concreto simples acima do embasamento</v>
          </cell>
          <cell r="C59" t="str">
            <v>M3</v>
          </cell>
          <cell r="D59">
            <v>48.915999999999997</v>
          </cell>
        </row>
        <row r="60">
          <cell r="A60" t="str">
            <v>001.01.01040</v>
          </cell>
          <cell r="B60" t="str">
            <v>Demolição de concreto armado acima do embasamento</v>
          </cell>
          <cell r="C60" t="str">
            <v>M3</v>
          </cell>
          <cell r="D60">
            <v>135.1079</v>
          </cell>
        </row>
        <row r="61">
          <cell r="A61" t="str">
            <v>001.01.01042</v>
          </cell>
          <cell r="B61" t="str">
            <v>Rasgo em piso de concreto simples 7.00 x 7.00 cm para passagem de tubulação, utilizando máquina corta piso manual com disco diamantado</v>
          </cell>
          <cell r="C61" t="str">
            <v>ml</v>
          </cell>
          <cell r="D61">
            <v>3.4912999999999998</v>
          </cell>
        </row>
        <row r="62">
          <cell r="A62" t="str">
            <v>001.01.01045</v>
          </cell>
          <cell r="B62" t="str">
            <v>Rasgo em piso de concreto simples 10.00 x 7.00 cm para passagem de tubulação, utilizando máquina corta piso manual com disco diamantado</v>
          </cell>
          <cell r="C62" t="str">
            <v>ml</v>
          </cell>
          <cell r="D62">
            <v>4.4429999999999996</v>
          </cell>
        </row>
        <row r="63">
          <cell r="A63" t="str">
            <v>001.01.01050</v>
          </cell>
          <cell r="B63" t="str">
            <v>Rasgo em piso de concreto simples 15.00 x 7.00 cm para passagem de tubulação, utilizando máquina corta piso manual com disco diamantado</v>
          </cell>
          <cell r="C63" t="str">
            <v>ml</v>
          </cell>
          <cell r="D63">
            <v>6.3464999999999998</v>
          </cell>
        </row>
        <row r="64">
          <cell r="A64" t="str">
            <v>001.01.01060</v>
          </cell>
          <cell r="B64" t="str">
            <v>Demolição de assoalhos de tábuas incl.rodapés e cordões</v>
          </cell>
          <cell r="C64" t="str">
            <v>M2</v>
          </cell>
          <cell r="D64">
            <v>6.8522999999999996</v>
          </cell>
        </row>
        <row r="65">
          <cell r="A65" t="str">
            <v>001.01.01080</v>
          </cell>
          <cell r="B65" t="str">
            <v>Demolição de assoalhos de tábuas apenas das tábuas</v>
          </cell>
          <cell r="C65" t="str">
            <v>M2</v>
          </cell>
          <cell r="D65">
            <v>2.7408999999999999</v>
          </cell>
        </row>
        <row r="66">
          <cell r="A66" t="str">
            <v>001.01.01100</v>
          </cell>
          <cell r="B66" t="str">
            <v>Retirada de todo piso assoalho de tábuas inclusive vigamento de peróba</v>
          </cell>
          <cell r="C66" t="str">
            <v>M2</v>
          </cell>
          <cell r="D66">
            <v>11.176299999999999</v>
          </cell>
        </row>
        <row r="67">
          <cell r="A67" t="str">
            <v>001.01.01120</v>
          </cell>
          <cell r="B67" t="str">
            <v>Demolição de pisos de tacos madeira inclusive argamassa de assentamento</v>
          </cell>
          <cell r="C67" t="str">
            <v>M2</v>
          </cell>
          <cell r="D67">
            <v>8.3957999999999995</v>
          </cell>
        </row>
        <row r="68">
          <cell r="A68" t="str">
            <v>001.01.01140</v>
          </cell>
          <cell r="B68" t="str">
            <v>Retirada de pisos de tacos madeira inclusive argamassa de assentamento</v>
          </cell>
          <cell r="C68" t="str">
            <v>M2</v>
          </cell>
          <cell r="D68">
            <v>10.020200000000001</v>
          </cell>
        </row>
        <row r="69">
          <cell r="A69" t="str">
            <v>001.01.01160</v>
          </cell>
          <cell r="B69" t="str">
            <v>Demolição de rodapé de madeira</v>
          </cell>
          <cell r="C69" t="str">
            <v>ML</v>
          </cell>
          <cell r="D69">
            <v>0.30459999999999998</v>
          </cell>
        </row>
        <row r="70">
          <cell r="A70" t="str">
            <v>001.01.01180</v>
          </cell>
          <cell r="B70" t="str">
            <v>Retirada de rodapé de madeira</v>
          </cell>
          <cell r="C70" t="str">
            <v>ML</v>
          </cell>
          <cell r="D70">
            <v>0.48730000000000001</v>
          </cell>
        </row>
        <row r="71">
          <cell r="A71" t="str">
            <v>001.01.01200</v>
          </cell>
          <cell r="B71" t="str">
            <v>Demolição de pisos de ladrilhos em geral</v>
          </cell>
          <cell r="C71" t="str">
            <v>M2</v>
          </cell>
          <cell r="D71">
            <v>3.0438999999999998</v>
          </cell>
        </row>
        <row r="72">
          <cell r="A72" t="str">
            <v>001.01.01220</v>
          </cell>
          <cell r="B72" t="str">
            <v>Demolição de ladrilhos em geral sobre base ou lastro de concreto</v>
          </cell>
          <cell r="C72" t="str">
            <v>M2</v>
          </cell>
          <cell r="D72">
            <v>6.0877999999999997</v>
          </cell>
        </row>
        <row r="73">
          <cell r="A73" t="str">
            <v>001.01.01240</v>
          </cell>
          <cell r="B73" t="str">
            <v>Demolição de pisos de granilite ou cimentado</v>
          </cell>
          <cell r="C73" t="str">
            <v>M2</v>
          </cell>
          <cell r="D73">
            <v>1.1307</v>
          </cell>
        </row>
        <row r="74">
          <cell r="A74" t="str">
            <v>001.01.01260</v>
          </cell>
          <cell r="B74" t="str">
            <v>Retirada de pavimentação em paralelepípedo</v>
          </cell>
          <cell r="C74" t="str">
            <v>M2</v>
          </cell>
          <cell r="D74">
            <v>3.4788000000000001</v>
          </cell>
        </row>
        <row r="75">
          <cell r="A75" t="str">
            <v>001.01.01280</v>
          </cell>
          <cell r="B75" t="str">
            <v>Demolição de pavimentação asfáltica p/processo manual</v>
          </cell>
          <cell r="C75" t="str">
            <v>M2</v>
          </cell>
          <cell r="D75">
            <v>5.7104999999999997</v>
          </cell>
        </row>
        <row r="76">
          <cell r="A76" t="str">
            <v>001.01.01300</v>
          </cell>
          <cell r="B76" t="str">
            <v>Demolição de pisos cimentados sobre base ou lastro concreto</v>
          </cell>
          <cell r="C76" t="str">
            <v>M2</v>
          </cell>
          <cell r="D76">
            <v>5.6529999999999996</v>
          </cell>
        </row>
        <row r="77">
          <cell r="A77" t="str">
            <v>001.01.01320</v>
          </cell>
          <cell r="B77" t="str">
            <v>Demolição de lastro de concreto</v>
          </cell>
          <cell r="C77" t="str">
            <v>M2</v>
          </cell>
          <cell r="D77">
            <v>3.0438999999999998</v>
          </cell>
        </row>
        <row r="78">
          <cell r="A78" t="str">
            <v>001.01.01340</v>
          </cell>
          <cell r="B78" t="str">
            <v>Retirada de vidros inteiros</v>
          </cell>
          <cell r="C78" t="str">
            <v>M2</v>
          </cell>
          <cell r="D78">
            <v>2.3028</v>
          </cell>
        </row>
        <row r="79">
          <cell r="A79" t="str">
            <v>001.01.01360</v>
          </cell>
          <cell r="B79" t="str">
            <v>Retirada de esquadrias de madeira inclusive batente</v>
          </cell>
          <cell r="C79" t="str">
            <v>M2</v>
          </cell>
          <cell r="D79">
            <v>3.4788000000000001</v>
          </cell>
        </row>
        <row r="80">
          <cell r="A80" t="str">
            <v>001.01.01380</v>
          </cell>
          <cell r="B80" t="str">
            <v>Retirada de esquadrias metálicas</v>
          </cell>
          <cell r="C80" t="str">
            <v>M2</v>
          </cell>
          <cell r="D80">
            <v>4.5599999999999996</v>
          </cell>
        </row>
        <row r="81">
          <cell r="A81" t="str">
            <v>001.01.01400</v>
          </cell>
          <cell r="B81" t="str">
            <v>Retirada de fechaduras</v>
          </cell>
          <cell r="C81" t="str">
            <v>UN</v>
          </cell>
          <cell r="D81">
            <v>2.3028</v>
          </cell>
        </row>
        <row r="82">
          <cell r="A82" t="str">
            <v>001.01.01420</v>
          </cell>
          <cell r="B82" t="str">
            <v>Retirada de esquadria de madeira, somente as folhas</v>
          </cell>
          <cell r="C82" t="str">
            <v>M2</v>
          </cell>
          <cell r="D82">
            <v>1.5441</v>
          </cell>
        </row>
        <row r="83">
          <cell r="A83" t="str">
            <v>001.01.01440</v>
          </cell>
          <cell r="B83" t="str">
            <v>Retirada de aparelhos de louça ou ferro sanitário</v>
          </cell>
          <cell r="C83" t="str">
            <v>UN</v>
          </cell>
          <cell r="D83">
            <v>8.3524999999999991</v>
          </cell>
        </row>
        <row r="84">
          <cell r="A84" t="str">
            <v>001.01.01460</v>
          </cell>
          <cell r="B84" t="str">
            <v>Retirada de caixa dágua pré fabricada</v>
          </cell>
          <cell r="C84" t="str">
            <v>UN</v>
          </cell>
          <cell r="D84">
            <v>13.9208</v>
          </cell>
        </row>
        <row r="85">
          <cell r="A85" t="str">
            <v>001.01.01480</v>
          </cell>
          <cell r="B85" t="str">
            <v>Demolição de tubulação de ferro galvanizado até 2 pol</v>
          </cell>
          <cell r="C85" t="str">
            <v>ML</v>
          </cell>
          <cell r="D85">
            <v>1.6705000000000001</v>
          </cell>
        </row>
        <row r="86">
          <cell r="A86" t="str">
            <v>001.01.01500</v>
          </cell>
          <cell r="B86" t="str">
            <v>Demolição de tubulação de ferro galvanizado acima de 2 pol</v>
          </cell>
          <cell r="C86" t="str">
            <v>ML</v>
          </cell>
          <cell r="D86">
            <v>2.7841999999999998</v>
          </cell>
        </row>
        <row r="87">
          <cell r="A87" t="str">
            <v>001.01.01520</v>
          </cell>
          <cell r="B87" t="str">
            <v>Retirada de tubo de ferro galvanizado até 2 pol</v>
          </cell>
          <cell r="C87" t="str">
            <v>ML</v>
          </cell>
          <cell r="D87">
            <v>2.7841999999999998</v>
          </cell>
        </row>
        <row r="88">
          <cell r="A88" t="str">
            <v>001.01.01540</v>
          </cell>
          <cell r="B88" t="str">
            <v>Retirada de tubo de ferro galvanizado acima de 2 pol</v>
          </cell>
          <cell r="C88" t="str">
            <v>ML</v>
          </cell>
          <cell r="D88">
            <v>3.3410000000000002</v>
          </cell>
        </row>
        <row r="89">
          <cell r="A89" t="str">
            <v>001.01.01560</v>
          </cell>
          <cell r="B89" t="str">
            <v>Demolição de tubo de f.f.ate 3 pol</v>
          </cell>
          <cell r="C89" t="str">
            <v>ML</v>
          </cell>
          <cell r="D89">
            <v>1.6705000000000001</v>
          </cell>
        </row>
        <row r="90">
          <cell r="A90" t="str">
            <v>001.01.01580</v>
          </cell>
          <cell r="B90" t="str">
            <v>Demolição de tubo de f.f.acima 3 pol</v>
          </cell>
          <cell r="C90" t="str">
            <v>ML</v>
          </cell>
          <cell r="D90">
            <v>2.7841999999999998</v>
          </cell>
        </row>
        <row r="91">
          <cell r="A91" t="str">
            <v>001.01.01600</v>
          </cell>
          <cell r="B91" t="str">
            <v>Retirada de tubo de f.f.ate 3 pol</v>
          </cell>
          <cell r="C91" t="str">
            <v>ML</v>
          </cell>
          <cell r="D91">
            <v>2.7841999999999998</v>
          </cell>
        </row>
        <row r="92">
          <cell r="A92" t="str">
            <v>001.01.01620</v>
          </cell>
          <cell r="B92" t="str">
            <v>Retirada de tubo de f.f.acima de 3 pol</v>
          </cell>
          <cell r="C92" t="str">
            <v>ML</v>
          </cell>
          <cell r="D92">
            <v>3.3410000000000002</v>
          </cell>
        </row>
        <row r="93">
          <cell r="A93" t="str">
            <v>001.01.01640</v>
          </cell>
          <cell r="B93" t="str">
            <v>Demolição de tubo de barro ou c.a.ate 3 pol</v>
          </cell>
          <cell r="C93" t="str">
            <v>ML</v>
          </cell>
          <cell r="D93">
            <v>1.1136999999999999</v>
          </cell>
        </row>
        <row r="94">
          <cell r="A94" t="str">
            <v>001.01.01660</v>
          </cell>
          <cell r="B94" t="str">
            <v>Demolição de tubo de barro ou c.a.acima de 3 pol</v>
          </cell>
          <cell r="C94" t="str">
            <v>ML</v>
          </cell>
          <cell r="D94">
            <v>1.6705000000000001</v>
          </cell>
        </row>
        <row r="95">
          <cell r="A95" t="str">
            <v>001.01.01680</v>
          </cell>
          <cell r="B95" t="str">
            <v>Retirada de tubos de barro ou cimento amianto até 3 pol</v>
          </cell>
          <cell r="C95" t="str">
            <v>ML</v>
          </cell>
          <cell r="D95">
            <v>3.3410000000000002</v>
          </cell>
        </row>
        <row r="96">
          <cell r="A96" t="str">
            <v>001.01.01700</v>
          </cell>
          <cell r="B96" t="str">
            <v>Retirada de tubos de barro ou cimento amianto acima de 3 pol</v>
          </cell>
          <cell r="C96" t="str">
            <v>ML</v>
          </cell>
          <cell r="D96">
            <v>3.8978000000000002</v>
          </cell>
        </row>
        <row r="97">
          <cell r="A97" t="str">
            <v>001.01.01720</v>
          </cell>
          <cell r="B97" t="str">
            <v>Retirada de registro ate 2 pol</v>
          </cell>
          <cell r="C97" t="str">
            <v>UN</v>
          </cell>
          <cell r="D97">
            <v>6.1250999999999998</v>
          </cell>
        </row>
        <row r="98">
          <cell r="A98" t="str">
            <v>001.01.01740</v>
          </cell>
          <cell r="B98" t="str">
            <v>Retirada de calhas e condutores</v>
          </cell>
          <cell r="C98" t="str">
            <v>ML</v>
          </cell>
          <cell r="D98">
            <v>1.2209000000000001</v>
          </cell>
        </row>
        <row r="99">
          <cell r="A99" t="str">
            <v>001.01.01760</v>
          </cell>
          <cell r="B99" t="str">
            <v>Execução de desentupimento de esgoto</v>
          </cell>
          <cell r="C99" t="str">
            <v>ML</v>
          </cell>
          <cell r="D99">
            <v>2.0348000000000002</v>
          </cell>
        </row>
        <row r="100">
          <cell r="A100" t="str">
            <v>001.01.01780</v>
          </cell>
          <cell r="B100" t="str">
            <v>Retirada de caixa de descarga</v>
          </cell>
          <cell r="C100" t="str">
            <v>UN</v>
          </cell>
          <cell r="D100">
            <v>5.3921999999999999</v>
          </cell>
        </row>
        <row r="101">
          <cell r="A101" t="str">
            <v>001.01.01800</v>
          </cell>
          <cell r="B101" t="str">
            <v>Retirada de bancadas, balcões ou pias (aço,granilite,ardósia,etc)</v>
          </cell>
          <cell r="C101" t="str">
            <v>M2</v>
          </cell>
          <cell r="D101">
            <v>9.2216000000000005</v>
          </cell>
        </row>
        <row r="102">
          <cell r="A102" t="str">
            <v>001.01.01820</v>
          </cell>
          <cell r="B102" t="str">
            <v>Demolição de quadro de luz e força</v>
          </cell>
          <cell r="C102" t="str">
            <v>UN</v>
          </cell>
          <cell r="D102">
            <v>13.9208</v>
          </cell>
        </row>
        <row r="103">
          <cell r="A103" t="str">
            <v>001.01.01840</v>
          </cell>
          <cell r="B103" t="str">
            <v>Retirada de quadro de luz e força</v>
          </cell>
          <cell r="C103" t="str">
            <v>UN</v>
          </cell>
          <cell r="D103">
            <v>19.489100000000001</v>
          </cell>
        </row>
        <row r="104">
          <cell r="A104" t="str">
            <v>001.01.01860</v>
          </cell>
          <cell r="B104" t="str">
            <v>Retirada de aparelhos incandecentes</v>
          </cell>
          <cell r="C104" t="str">
            <v>UN</v>
          </cell>
          <cell r="D104">
            <v>0.55679999999999996</v>
          </cell>
        </row>
        <row r="105">
          <cell r="A105" t="str">
            <v>001.01.01880</v>
          </cell>
          <cell r="B105" t="str">
            <v>Retirada de aparelhos fluorescentes</v>
          </cell>
          <cell r="C105" t="str">
            <v>UN</v>
          </cell>
          <cell r="D105">
            <v>2.2273000000000001</v>
          </cell>
        </row>
        <row r="106">
          <cell r="A106" t="str">
            <v>001.01.01900</v>
          </cell>
          <cell r="B106" t="str">
            <v>Demolição de tubulação elétrica ate 2.00 pol</v>
          </cell>
          <cell r="C106" t="str">
            <v>ML</v>
          </cell>
          <cell r="D106">
            <v>1.6705000000000001</v>
          </cell>
        </row>
        <row r="107">
          <cell r="A107" t="str">
            <v>001.01.01920</v>
          </cell>
          <cell r="B107" t="str">
            <v>Demolição de tubulação elétrica acima de 2.00 pol</v>
          </cell>
          <cell r="C107" t="str">
            <v>ML</v>
          </cell>
          <cell r="D107">
            <v>2.7841999999999998</v>
          </cell>
        </row>
        <row r="108">
          <cell r="A108" t="str">
            <v>001.01.01940</v>
          </cell>
          <cell r="B108" t="str">
            <v>Retirada de fiação (até cabo n.2 awg)</v>
          </cell>
          <cell r="C108" t="str">
            <v>ML</v>
          </cell>
          <cell r="D108">
            <v>0.1114</v>
          </cell>
        </row>
        <row r="109">
          <cell r="A109" t="str">
            <v>001.01.01960</v>
          </cell>
          <cell r="B109" t="str">
            <v>Retirada de fiação (do cabo 1/0 ate 4/0 awg)</v>
          </cell>
          <cell r="C109" t="str">
            <v>ML</v>
          </cell>
          <cell r="D109">
            <v>0.22270000000000001</v>
          </cell>
        </row>
        <row r="110">
          <cell r="A110" t="str">
            <v>001.01.01980</v>
          </cell>
          <cell r="B110" t="str">
            <v>Retirada de interruptores, tomadas, campainhas, etc. (inclusive, condutores e caixas)</v>
          </cell>
          <cell r="C110" t="str">
            <v>UN</v>
          </cell>
          <cell r="D110">
            <v>0.1114</v>
          </cell>
        </row>
        <row r="111">
          <cell r="A111" t="str">
            <v>001.01.02000</v>
          </cell>
          <cell r="B111" t="str">
            <v>Retirada de postes de madeira ou concreto ate 11.00 m</v>
          </cell>
          <cell r="C111" t="str">
            <v>UN</v>
          </cell>
          <cell r="D111">
            <v>17.455300000000001</v>
          </cell>
        </row>
        <row r="112">
          <cell r="A112" t="str">
            <v>001.01.02020</v>
          </cell>
          <cell r="B112" t="str">
            <v>Retirada de arruelas</v>
          </cell>
          <cell r="C112" t="str">
            <v>UN</v>
          </cell>
          <cell r="D112">
            <v>0.1114</v>
          </cell>
        </row>
        <row r="113">
          <cell r="A113" t="str">
            <v>001.01.02040</v>
          </cell>
          <cell r="B113" t="str">
            <v>Retirada de cruzeta de madeira</v>
          </cell>
          <cell r="C113" t="str">
            <v>UN</v>
          </cell>
          <cell r="D113">
            <v>0.27839999999999998</v>
          </cell>
        </row>
        <row r="114">
          <cell r="A114" t="str">
            <v>001.01.02060</v>
          </cell>
          <cell r="B114" t="str">
            <v>Retirada de isoladores</v>
          </cell>
          <cell r="C114" t="str">
            <v>UN</v>
          </cell>
          <cell r="D114">
            <v>0.55679999999999996</v>
          </cell>
        </row>
        <row r="115">
          <cell r="A115" t="str">
            <v>001.01.02080</v>
          </cell>
          <cell r="B115" t="str">
            <v>Retirada de mão francesa</v>
          </cell>
          <cell r="C115" t="str">
            <v>UN</v>
          </cell>
          <cell r="D115">
            <v>0.55679999999999996</v>
          </cell>
        </row>
        <row r="116">
          <cell r="A116" t="str">
            <v>001.01.02100</v>
          </cell>
          <cell r="B116" t="str">
            <v>Retirada de parafuso máquina ou francês</v>
          </cell>
          <cell r="C116" t="str">
            <v>UN</v>
          </cell>
          <cell r="D116">
            <v>0.55679999999999996</v>
          </cell>
        </row>
        <row r="117">
          <cell r="A117" t="str">
            <v>001.01.02120</v>
          </cell>
          <cell r="B117" t="str">
            <v>Retirada de pino p/isolador de 15 kv</v>
          </cell>
          <cell r="C117" t="str">
            <v>UN</v>
          </cell>
          <cell r="D117">
            <v>0.83520000000000005</v>
          </cell>
        </row>
        <row r="118">
          <cell r="A118" t="str">
            <v>001.01.02140</v>
          </cell>
          <cell r="B118" t="str">
            <v>Retirada de disjuntor monofásico, bifásico ou trifásico de 15 a até 200 a</v>
          </cell>
          <cell r="C118" t="str">
            <v>UN</v>
          </cell>
          <cell r="D118">
            <v>1.0174000000000001</v>
          </cell>
        </row>
        <row r="119">
          <cell r="A119" t="str">
            <v>001.01.02160</v>
          </cell>
          <cell r="B119" t="str">
            <v>Retirada de chave trifásica com fusíveis de 30a até 200a</v>
          </cell>
          <cell r="C119" t="str">
            <v>UN</v>
          </cell>
          <cell r="D119">
            <v>3.0522</v>
          </cell>
        </row>
        <row r="120">
          <cell r="A120" t="str">
            <v>001.01.02180</v>
          </cell>
          <cell r="B120" t="str">
            <v>Retirada de ventilador de teto completo</v>
          </cell>
          <cell r="C120" t="str">
            <v>UN</v>
          </cell>
          <cell r="D120">
            <v>1.526</v>
          </cell>
        </row>
        <row r="121">
          <cell r="A121" t="str">
            <v>001.01.02200</v>
          </cell>
          <cell r="B121" t="str">
            <v>Retirada de refletor com lâmpada</v>
          </cell>
          <cell r="C121" t="str">
            <v>UN</v>
          </cell>
          <cell r="D121">
            <v>1.526</v>
          </cell>
        </row>
        <row r="122">
          <cell r="A122" t="str">
            <v>001.01.02220</v>
          </cell>
          <cell r="B122" t="str">
            <v>Remanejamento de fancoils</v>
          </cell>
          <cell r="C122" t="str">
            <v>UN</v>
          </cell>
          <cell r="D122">
            <v>80.161600000000007</v>
          </cell>
        </row>
        <row r="123">
          <cell r="A123" t="str">
            <v>001.01.02240</v>
          </cell>
          <cell r="B123" t="str">
            <v>Retirada c/ remoção de transformador de at/bt-15 kv 75 a 150 kva</v>
          </cell>
          <cell r="C123" t="str">
            <v>UN</v>
          </cell>
          <cell r="D123">
            <v>199.11799999999999</v>
          </cell>
        </row>
        <row r="124">
          <cell r="A124" t="str">
            <v>001.01.02260</v>
          </cell>
          <cell r="B124" t="str">
            <v>Retirada com remoção de grupo motor-gerador de 60 a 250 kva</v>
          </cell>
          <cell r="C124" t="str">
            <v>UN</v>
          </cell>
          <cell r="D124">
            <v>199.11799999999999</v>
          </cell>
        </row>
        <row r="125">
          <cell r="A125" t="str">
            <v>001.01.02280</v>
          </cell>
          <cell r="B125" t="str">
            <v>Remoção de pintura a cal</v>
          </cell>
          <cell r="C125" t="str">
            <v>M2</v>
          </cell>
          <cell r="D125">
            <v>0.81220000000000003</v>
          </cell>
        </row>
        <row r="126">
          <cell r="A126" t="str">
            <v>001.01.02300</v>
          </cell>
          <cell r="B126" t="str">
            <v>Remoção de pintura a gesso cola ou base de látex (pva)</v>
          </cell>
          <cell r="C126" t="str">
            <v>M2</v>
          </cell>
          <cell r="D126">
            <v>1.0829</v>
          </cell>
        </row>
        <row r="127">
          <cell r="A127" t="str">
            <v>001.01.02320</v>
          </cell>
          <cell r="B127" t="str">
            <v>Remoção de pintura a óleo esmalte verniz ou grafite</v>
          </cell>
          <cell r="C127" t="str">
            <v>M2</v>
          </cell>
          <cell r="D127">
            <v>2.0588000000000002</v>
          </cell>
        </row>
        <row r="128">
          <cell r="A128" t="str">
            <v>001.01.02340</v>
          </cell>
          <cell r="B128" t="str">
            <v>Raspagem e lixamento de pintura a óleo esmalte verniz ou grafite</v>
          </cell>
          <cell r="C128" t="str">
            <v>M2</v>
          </cell>
          <cell r="D128">
            <v>1.5441</v>
          </cell>
        </row>
        <row r="129">
          <cell r="A129" t="str">
            <v>001.02</v>
          </cell>
          <cell r="B129" t="str">
            <v>SERVIÇOS PRELIMINARES</v>
          </cell>
          <cell r="D129">
            <v>3235.6857</v>
          </cell>
        </row>
        <row r="130">
          <cell r="A130" t="str">
            <v>001.02.00020</v>
          </cell>
          <cell r="B130" t="str">
            <v>Execução de Corte e destocamento inclusive remoção de árvore de pequeno porte com diâmetro até 15 cm</v>
          </cell>
          <cell r="C130" t="str">
            <v>un</v>
          </cell>
          <cell r="D130">
            <v>19.833600000000001</v>
          </cell>
        </row>
        <row r="131">
          <cell r="A131" t="str">
            <v>001.02.00040</v>
          </cell>
          <cell r="B131" t="str">
            <v>Execução de Corte e destocamento inclusive remoção de árvore de médio porte com diâmetro até 25 cm</v>
          </cell>
          <cell r="C131" t="str">
            <v>UN</v>
          </cell>
          <cell r="D131">
            <v>25.9434</v>
          </cell>
        </row>
        <row r="132">
          <cell r="A132" t="str">
            <v>001.02.00060</v>
          </cell>
          <cell r="B132" t="str">
            <v>Execução de Corte e destocamento de árvore de grande porte com diâmetro médio de 50 cm</v>
          </cell>
          <cell r="C132" t="str">
            <v>un</v>
          </cell>
          <cell r="D132">
            <v>115.05800000000001</v>
          </cell>
        </row>
        <row r="133">
          <cell r="A133" t="str">
            <v>001.02.00080</v>
          </cell>
          <cell r="B133" t="str">
            <v>Execução de Roçado em capoeirão c/empilhamento e queima de resíduos</v>
          </cell>
          <cell r="C133" t="str">
            <v>M2</v>
          </cell>
          <cell r="D133">
            <v>0.27450000000000002</v>
          </cell>
        </row>
        <row r="134">
          <cell r="A134" t="str">
            <v>001.02.00100</v>
          </cell>
          <cell r="B134" t="str">
            <v>Execução de Capinação de terreno inclusive retirada (bota fora)</v>
          </cell>
          <cell r="C134" t="str">
            <v>M2</v>
          </cell>
          <cell r="D134">
            <v>0.38069999999999998</v>
          </cell>
        </row>
        <row r="135">
          <cell r="A135" t="str">
            <v>001.02.00120</v>
          </cell>
          <cell r="B135" t="str">
            <v>Execução de Limpeza do terreno c/ retirada dos entulhos e queima dos mesmos</v>
          </cell>
          <cell r="C135" t="str">
            <v>M2</v>
          </cell>
          <cell r="D135">
            <v>0.30459999999999998</v>
          </cell>
        </row>
        <row r="136">
          <cell r="A136" t="str">
            <v>001.02.00160</v>
          </cell>
          <cell r="B136" t="str">
            <v>Fornecimento e Instalação de Tapume em chapa de madeira compensada 6.00 mm de espessura</v>
          </cell>
          <cell r="C136" t="str">
            <v>m2</v>
          </cell>
          <cell r="D136">
            <v>17.754799999999999</v>
          </cell>
        </row>
        <row r="137">
          <cell r="A137" t="str">
            <v>001.02.00180</v>
          </cell>
          <cell r="B137" t="str">
            <v>Fornecimento e Instalação de Tapume em Chapa Metálica e Fixado em Pilar de Madeira, com Parafusos Auto-Atarrachante,conf. det. SINFRA ( 8 Reaproveitamentos)</v>
          </cell>
          <cell r="C137" t="str">
            <v>ml</v>
          </cell>
          <cell r="D137">
            <v>20.6296</v>
          </cell>
        </row>
        <row r="138">
          <cell r="A138" t="str">
            <v>001.02.00200</v>
          </cell>
          <cell r="B138" t="str">
            <v>Execução de barracão de obra para alojamento</v>
          </cell>
          <cell r="C138" t="str">
            <v>m2</v>
          </cell>
          <cell r="D138">
            <v>65.298699999999997</v>
          </cell>
        </row>
        <row r="139">
          <cell r="A139" t="str">
            <v>001.02.00220</v>
          </cell>
          <cell r="B139" t="str">
            <v>Execução de barracão de obra para depósito ou refeitório</v>
          </cell>
          <cell r="C139" t="str">
            <v>m2</v>
          </cell>
          <cell r="D139">
            <v>62.970100000000002</v>
          </cell>
        </row>
        <row r="140">
          <cell r="A140" t="str">
            <v>001.02.00310</v>
          </cell>
          <cell r="B140" t="str">
            <v>Instalações Provisórias em Estrutura Metálica Tipo Conteiner (Almoxarifado, Depósito, Escritório, Ferramentaria, etc.) dim. 1.50x1.80x3.00 mts</v>
          </cell>
          <cell r="C140" t="str">
            <v>mês</v>
          </cell>
          <cell r="D140">
            <v>180</v>
          </cell>
        </row>
        <row r="141">
          <cell r="A141" t="str">
            <v>001.02.00320</v>
          </cell>
          <cell r="B141" t="str">
            <v>Execução de instalação provisória de água e esgoto</v>
          </cell>
          <cell r="C141" t="str">
            <v>UN</v>
          </cell>
          <cell r="D141">
            <v>769.67160000000001</v>
          </cell>
        </row>
        <row r="142">
          <cell r="A142" t="str">
            <v>001.02.00340</v>
          </cell>
          <cell r="B142" t="str">
            <v>Execução de instalação provisória de luz e força</v>
          </cell>
          <cell r="C142" t="str">
            <v>UN</v>
          </cell>
          <cell r="D142">
            <v>866.22799999999995</v>
          </cell>
        </row>
        <row r="143">
          <cell r="A143" t="str">
            <v>001.02.00380</v>
          </cell>
          <cell r="B143" t="str">
            <v>Fornecimento e instalação de placa de obra,de 5,00x3,00m,conforme detalhe da seet</v>
          </cell>
          <cell r="C143" t="str">
            <v>UN</v>
          </cell>
          <cell r="D143">
            <v>1009.9981</v>
          </cell>
        </row>
        <row r="144">
          <cell r="A144" t="str">
            <v>001.02.00400</v>
          </cell>
          <cell r="B144" t="str">
            <v>Fornecimento e instalação de placa de obra</v>
          </cell>
          <cell r="C144" t="str">
            <v>M2</v>
          </cell>
          <cell r="D144">
            <v>73.5017</v>
          </cell>
        </row>
        <row r="145">
          <cell r="A145" t="str">
            <v>001.02.00420</v>
          </cell>
          <cell r="B145" t="str">
            <v>Execução de locação da obra c/aparelhos topográficos p/medição considerar as faces externas das paredes</v>
          </cell>
          <cell r="C145" t="str">
            <v>M2</v>
          </cell>
          <cell r="D145">
            <v>1.2089000000000001</v>
          </cell>
        </row>
        <row r="146">
          <cell r="A146" t="str">
            <v>001.02.00440</v>
          </cell>
          <cell r="B146" t="str">
            <v>Execução de locação da obra c/tábuas corridas p/medição considerar as faces externas das paredes</v>
          </cell>
          <cell r="C146" t="str">
            <v>M2</v>
          </cell>
          <cell r="D146">
            <v>2.7069999999999999</v>
          </cell>
        </row>
        <row r="147">
          <cell r="A147" t="str">
            <v>001.02.00460</v>
          </cell>
          <cell r="B147" t="str">
            <v>Locação de linhas estaqueadas de 20 em 20 m para construção de muro, sem nivelamento</v>
          </cell>
          <cell r="C147" t="str">
            <v>ml</v>
          </cell>
          <cell r="D147">
            <v>1.5085999999999999</v>
          </cell>
        </row>
        <row r="148">
          <cell r="A148" t="str">
            <v>001.02.00480</v>
          </cell>
          <cell r="B148" t="str">
            <v>Locação de linhas estaqueadas de 20 em 20 m para construção de muro, com nivelamento</v>
          </cell>
          <cell r="C148" t="str">
            <v>ml</v>
          </cell>
          <cell r="D148">
            <v>2.4138000000000002</v>
          </cell>
        </row>
        <row r="149">
          <cell r="A149" t="str">
            <v>001.03</v>
          </cell>
          <cell r="B149" t="str">
            <v>MOVIMENTO DE TERRA</v>
          </cell>
          <cell r="D149">
            <v>268.12540000000001</v>
          </cell>
        </row>
        <row r="150">
          <cell r="A150" t="str">
            <v>001.03.00020</v>
          </cell>
          <cell r="B150" t="str">
            <v>Escavação manual de vala profund. até 2 mts em solo de 1ª categoria -   qualquer que seja o teor de umidade que apresente</v>
          </cell>
          <cell r="C150" t="str">
            <v>m3</v>
          </cell>
          <cell r="D150">
            <v>15.228</v>
          </cell>
        </row>
        <row r="151">
          <cell r="A151" t="str">
            <v>001.03.00030</v>
          </cell>
          <cell r="B151" t="str">
            <v>Escavação manual de vala profund. de 2 a 4 mts em solo de 1ª categoria -  qualquer que seja o teor de umidade que apresente</v>
          </cell>
          <cell r="C151" t="str">
            <v>m3</v>
          </cell>
          <cell r="D151">
            <v>17.131499999999999</v>
          </cell>
        </row>
        <row r="152">
          <cell r="A152" t="str">
            <v>001.03.00040</v>
          </cell>
          <cell r="B152" t="str">
            <v>Escavação manual em terra compacta ate 1,50m em material de primeira catergoria</v>
          </cell>
          <cell r="C152" t="str">
            <v>M3</v>
          </cell>
          <cell r="D152">
            <v>10.659599999999999</v>
          </cell>
        </row>
        <row r="153">
          <cell r="A153" t="str">
            <v>001.03.00060</v>
          </cell>
          <cell r="B153" t="str">
            <v>Escavação manual em terra compacta de 1,50 ate 4,00 m</v>
          </cell>
          <cell r="C153" t="str">
            <v>M3</v>
          </cell>
          <cell r="D153">
            <v>19.035</v>
          </cell>
        </row>
        <row r="154">
          <cell r="A154" t="str">
            <v>001.03.00080</v>
          </cell>
          <cell r="B154" t="str">
            <v>Escavação manual em terra dura ate 1,50m de profundidade</v>
          </cell>
          <cell r="C154" t="str">
            <v>M3</v>
          </cell>
          <cell r="D154">
            <v>13.7052</v>
          </cell>
        </row>
        <row r="155">
          <cell r="A155" t="str">
            <v>001.03.00100</v>
          </cell>
          <cell r="B155" t="str">
            <v>Escavação manual em terra dura de 1,50 a 4,00m de profundidade</v>
          </cell>
          <cell r="C155" t="str">
            <v>M3</v>
          </cell>
          <cell r="D155">
            <v>22.841999999999999</v>
          </cell>
        </row>
        <row r="156">
          <cell r="A156" t="str">
            <v>001.03.00110</v>
          </cell>
          <cell r="B156" t="str">
            <v>Reaterro manual de valas c/o proprio material escavado incl.serviços de apiloamento com masso de 30 kg</v>
          </cell>
          <cell r="C156" t="str">
            <v>m3</v>
          </cell>
          <cell r="D156">
            <v>7.4237000000000002</v>
          </cell>
        </row>
        <row r="157">
          <cell r="A157" t="str">
            <v>001.03.00120</v>
          </cell>
          <cell r="B157" t="str">
            <v>Reaterro manual de valas c/o proprio material escavado incl.serviços de apiloamento com masso de 30 kg a 60 kg</v>
          </cell>
          <cell r="C157" t="str">
            <v>m3</v>
          </cell>
          <cell r="D157">
            <v>8.1851000000000003</v>
          </cell>
        </row>
        <row r="158">
          <cell r="A158" t="str">
            <v>001.03.00130</v>
          </cell>
          <cell r="B158" t="str">
            <v>Reaterro Mecanizado de Vala Empregando Compactador  de Placa Vibratória Movido à Diesel VPY 1750</v>
          </cell>
          <cell r="C158" t="str">
            <v>m3</v>
          </cell>
          <cell r="D158">
            <v>1.2639</v>
          </cell>
        </row>
        <row r="159">
          <cell r="A159" t="str">
            <v>001.03.00140</v>
          </cell>
          <cell r="B159" t="str">
            <v>Aterro interno entre baldrames em camada de 20 cm, utilizando compactador mecânico (tipo sapo mecânico), incluindo transporte e espalhamento do material</v>
          </cell>
          <cell r="C159" t="str">
            <v>m3</v>
          </cell>
          <cell r="D159">
            <v>15.5708</v>
          </cell>
        </row>
        <row r="160">
          <cell r="A160" t="str">
            <v>001.03.00200</v>
          </cell>
          <cell r="B160" t="str">
            <v>Apiloamento de fundo de valas ou cavas com masso ate 30 kg</v>
          </cell>
          <cell r="C160" t="str">
            <v>M2</v>
          </cell>
          <cell r="D160">
            <v>4.3780999999999999</v>
          </cell>
        </row>
        <row r="161">
          <cell r="A161" t="str">
            <v>001.03.00220</v>
          </cell>
          <cell r="B161" t="str">
            <v>Apiloamento de fundo de valas ou cavas com masso de 30 a 60 kg</v>
          </cell>
          <cell r="C161" t="str">
            <v>M2</v>
          </cell>
          <cell r="D161">
            <v>6.4718999999999998</v>
          </cell>
        </row>
        <row r="162">
          <cell r="A162" t="str">
            <v>001.03.00240</v>
          </cell>
          <cell r="B162" t="str">
            <v>Espalhamento manual de terra descarregada</v>
          </cell>
          <cell r="C162" t="str">
            <v>m3</v>
          </cell>
          <cell r="D162">
            <v>1.5227999999999999</v>
          </cell>
        </row>
        <row r="163">
          <cell r="A163" t="str">
            <v>001.03.00280</v>
          </cell>
          <cell r="B163" t="str">
            <v>Aquisição de material para aterro (material de base ou subbase)</v>
          </cell>
          <cell r="C163" t="str">
            <v>m3</v>
          </cell>
          <cell r="D163">
            <v>7.03</v>
          </cell>
        </row>
        <row r="164">
          <cell r="A164" t="str">
            <v>001.03.00300</v>
          </cell>
          <cell r="B164" t="str">
            <v>Escavação manual a céu aberto para tubulões</v>
          </cell>
          <cell r="C164" t="str">
            <v>M3</v>
          </cell>
          <cell r="D164">
            <v>67.300799999999995</v>
          </cell>
        </row>
        <row r="165">
          <cell r="A165" t="str">
            <v>001.03.00310</v>
          </cell>
          <cell r="B165" t="str">
            <v>Escavação Mecanizada Com Perfuratriz com Diâmetro Médio de Perfuração de 80 cm</v>
          </cell>
          <cell r="C165" t="str">
            <v>ml</v>
          </cell>
          <cell r="D165">
            <v>8.5</v>
          </cell>
        </row>
        <row r="166">
          <cell r="A166" t="str">
            <v>001.03.00340</v>
          </cell>
          <cell r="B166" t="str">
            <v>Movimento de terra c/ corte e aterro compensado e c/ volume de corte excedente compensado manual em terreno mole</v>
          </cell>
          <cell r="C166" t="str">
            <v>M3</v>
          </cell>
          <cell r="D166">
            <v>9.5175000000000001</v>
          </cell>
        </row>
        <row r="167">
          <cell r="A167" t="str">
            <v>001.03.00360</v>
          </cell>
          <cell r="B167" t="str">
            <v>Movimento de terra c/ corte e aterro compensado e c/ volume de corte excedente compensado manual em terreno duro</v>
          </cell>
          <cell r="C167" t="str">
            <v>M3</v>
          </cell>
          <cell r="D167">
            <v>11.420999999999999</v>
          </cell>
        </row>
        <row r="168">
          <cell r="A168" t="str">
            <v>001.03.00380</v>
          </cell>
          <cell r="B168" t="str">
            <v>Movimento de terra c/ corte e aterro compensado e c/ volume de aterro por empréstimo volume compensado manual em terreno mole</v>
          </cell>
          <cell r="C168" t="str">
            <v>M3</v>
          </cell>
          <cell r="D168">
            <v>9.5175000000000001</v>
          </cell>
        </row>
        <row r="169">
          <cell r="A169" t="str">
            <v>001.03.00400</v>
          </cell>
          <cell r="B169" t="str">
            <v>Movimento de terra c/ corte e aterro compensado e c/ volume de aterro por empréstimo volume compensado manual em terreno duro</v>
          </cell>
          <cell r="C169" t="str">
            <v>M3</v>
          </cell>
          <cell r="D169">
            <v>11.420999999999999</v>
          </cell>
        </row>
        <row r="170">
          <cell r="A170" t="str">
            <v>001.04</v>
          </cell>
          <cell r="B170" t="str">
            <v>FUNDAÇÕES</v>
          </cell>
          <cell r="D170">
            <v>6408.5231000000003</v>
          </cell>
        </row>
        <row r="171">
          <cell r="A171" t="str">
            <v>001.04.00020</v>
          </cell>
          <cell r="B171" t="str">
            <v>Fornecimento, Lançamento e Aplicação de Lastro de Concreto c/ betoneira em fundações 1:5:10 c/167 kg cim/m3</v>
          </cell>
          <cell r="C171" t="str">
            <v>m3</v>
          </cell>
          <cell r="D171">
            <v>156.33449999999999</v>
          </cell>
        </row>
        <row r="172">
          <cell r="A172" t="str">
            <v>001.04.00105</v>
          </cell>
          <cell r="B172" t="str">
            <v>Fornecimento, confecção, transporte e aplicação de concreto 10 Mpa (241 kgcimento/m3),em fundações, virado na obra, composto por cimento portland CP 32 F, areia lavada tipo média a grossa, seixo rolado, e equipamentos.</v>
          </cell>
          <cell r="C172" t="str">
            <v>m3</v>
          </cell>
          <cell r="D172">
            <v>170.2595</v>
          </cell>
        </row>
        <row r="173">
          <cell r="A173" t="str">
            <v>001.04.00106</v>
          </cell>
          <cell r="B173" t="str">
            <v>Fornecimento, confecção, transporte e aplicação de concreto 13,5 Mpa (268 kgcimento/m3) em fundações, virado na obra, composto por cimento portland CP 32 F, areia lavada tipo média a grossa, seixo rolado, e equipamentos.</v>
          </cell>
          <cell r="C173" t="str">
            <v>m3</v>
          </cell>
          <cell r="D173">
            <v>177.58349999999999</v>
          </cell>
        </row>
        <row r="174">
          <cell r="A174" t="str">
            <v>001.04.00107</v>
          </cell>
          <cell r="B174" t="str">
            <v>Fornecimento, confecção, transporte e aplicação de concreto 15 Mpa (280 kgcimento/m3),em fundações, virado na obra, composto por cimento portland CP 32 F, areia lavada tipo média a grossa, seixo rolado, e equipamentos.</v>
          </cell>
          <cell r="C174" t="str">
            <v>m3</v>
          </cell>
          <cell r="D174">
            <v>174.21950000000001</v>
          </cell>
        </row>
        <row r="175">
          <cell r="A175" t="str">
            <v>001.04.00108</v>
          </cell>
          <cell r="B175" t="str">
            <v>Fornecimento, confecção, transporte e aplicação de concreto 18 Mpa (305 kgcimento/m3) em fundações, virado na obra, composto por cimento portland CP 32 F, areia lavada tipo média a grossa, seixo rolado, e equipamentos.</v>
          </cell>
          <cell r="C175" t="str">
            <v>m3</v>
          </cell>
          <cell r="D175">
            <v>187.62350000000001</v>
          </cell>
        </row>
        <row r="176">
          <cell r="A176" t="str">
            <v>001.04.00109</v>
          </cell>
          <cell r="B176" t="str">
            <v>Fornecimento, confecção, transporte e aplicação de concreto 20 Mpa (322 kgcimento/m3) em fundações, virado na obra, composto por cimento portland CP 32 F, areia lavada tipo média a grossa, seixo rolado, e equipamentos.</v>
          </cell>
          <cell r="C176" t="str">
            <v>m3</v>
          </cell>
          <cell r="D176">
            <v>201.55289999999999</v>
          </cell>
        </row>
        <row r="177">
          <cell r="A177" t="str">
            <v>001.04.00110</v>
          </cell>
          <cell r="B177" t="str">
            <v>Fornecimento, confecção, transporte e aplicação de concreto 21 Mpa (331 kgcimento/m3) em fundações, virado na obra, composto por cimento portland CP 32 F, areia lavada tipo média a grossa, seixo rolado, e equipamentos.</v>
          </cell>
          <cell r="C177" t="str">
            <v>m3</v>
          </cell>
          <cell r="D177">
            <v>188.06649999999999</v>
          </cell>
        </row>
        <row r="178">
          <cell r="A178" t="str">
            <v>001.04.00111</v>
          </cell>
          <cell r="B178" t="str">
            <v>Fornecimento, confecção, transporte e aplicação de concreto 25 Mpa (367 kgcimento/m3) em fundações, virado na obra, composto por cimento portland CP 32 F, areia lavada tipo média a grossa, seixo rolado, e equipamentos.</v>
          </cell>
          <cell r="C178" t="str">
            <v>m3</v>
          </cell>
          <cell r="D178">
            <v>197.83949999999999</v>
          </cell>
        </row>
        <row r="179">
          <cell r="A179" t="str">
            <v>001.04.00205</v>
          </cell>
          <cell r="B179" t="str">
            <v>Fornecimento, confecção, transporte e aplicação de concreto 10 Mpa (241 kgcimento/m3),em fundações, virado na obra, composto por cimento portland CP 32 F, areia lavada tipo média a grossa, pedra granitica britada, e equipamentos.</v>
          </cell>
          <cell r="C179" t="str">
            <v>m3</v>
          </cell>
          <cell r="D179">
            <v>179.58090000000001</v>
          </cell>
        </row>
        <row r="180">
          <cell r="A180" t="str">
            <v>001.04.00206</v>
          </cell>
          <cell r="B180" t="str">
            <v>Fornecimento, confecção, transporte e aplicação de concreto 13,5 Mpa (268 kgcimento/m3) em fundações, virado na obra, composto por cimento portland CP 32 F, areia lavada tipo média a grossa, pedra granitica britada, e equipamentos.</v>
          </cell>
          <cell r="C180" t="str">
            <v>m3</v>
          </cell>
          <cell r="D180">
            <v>186.9049</v>
          </cell>
        </row>
        <row r="181">
          <cell r="A181" t="str">
            <v>001.04.00207</v>
          </cell>
          <cell r="B181" t="str">
            <v>Fornecimento, confecção, transporte e aplicação de concreto 15 Mpa (280 kgcimento/m3),em fundações, virado na obra, composto por cimento portland CP 32 F, areia lavada tipo média a grossa, pedra granitica britada, e equipamentos.</v>
          </cell>
          <cell r="C181" t="str">
            <v>m3</v>
          </cell>
          <cell r="D181">
            <v>190.1549</v>
          </cell>
        </row>
        <row r="182">
          <cell r="A182" t="str">
            <v>001.04.00208</v>
          </cell>
          <cell r="B182" t="str">
            <v>Fornecimento, confecção, transporte e aplicação de concreto 18 Mpa (305 kgcimento/m3) em fundações, virado na obra, composto por cimento portland CP 32 F, areia lavada tipo média a grossa, pedra granitica britada, e equipamentos.</v>
          </cell>
          <cell r="C182" t="str">
            <v>m3</v>
          </cell>
          <cell r="D182">
            <v>196.94489999999999</v>
          </cell>
        </row>
        <row r="183">
          <cell r="A183" t="str">
            <v>001.04.00209</v>
          </cell>
          <cell r="B183" t="str">
            <v>Fornecimento, confecção, transporte e aplicação de concreto 20 Mpa (322 kgcimento/m3) em fundações, virado na obra, composto por cimento portland CP 32 F, areia lavada tipo média a grossa, pedra granitica britada, e equipamentos.</v>
          </cell>
          <cell r="C183" t="str">
            <v>m3</v>
          </cell>
          <cell r="D183">
            <v>201.55289999999999</v>
          </cell>
        </row>
        <row r="184">
          <cell r="A184" t="str">
            <v>001.04.00210</v>
          </cell>
          <cell r="B184" t="str">
            <v>Fornecimento, confecção, transporte e aplicação de concreto 21 Mpa (331 kgcimento/m3) em fundações, virado na obra, composto por cimento portland CP 32 F, areia lavada tipo média a grossa, pedra granitica britada, e equipamentos.</v>
          </cell>
          <cell r="C184" t="str">
            <v>m3</v>
          </cell>
          <cell r="D184">
            <v>204.00190000000001</v>
          </cell>
        </row>
        <row r="185">
          <cell r="A185" t="str">
            <v>001.04.00211</v>
          </cell>
          <cell r="B185" t="str">
            <v>Fornecimento, confecção, transporte e aplicação de concreto 25 Mpa (367 kgcimento/m3) em fundações, virado na obra, composto por cimento portland CP 32 F, areia lavada tipo média a grossa, pedra granitica britada, e equipamentos.</v>
          </cell>
          <cell r="C185" t="str">
            <v>m3</v>
          </cell>
          <cell r="D185">
            <v>221.38890000000001</v>
          </cell>
        </row>
        <row r="186">
          <cell r="A186" t="str">
            <v>001.04.00220</v>
          </cell>
          <cell r="B186" t="str">
            <v>Fornecimento, Transporte, Lançamento e Aplicação de Concreto usinado em fundação Fck= 13,5 Mpa</v>
          </cell>
          <cell r="C186" t="str">
            <v>m3</v>
          </cell>
          <cell r="D186">
            <v>219.32470000000001</v>
          </cell>
        </row>
        <row r="187">
          <cell r="A187" t="str">
            <v>001.04.00240</v>
          </cell>
          <cell r="B187" t="str">
            <v>Fornecimento, Transporte, Lançamento e Aplicação de Concreto usinado em fundação, Fck=15 mpa</v>
          </cell>
          <cell r="C187" t="str">
            <v>m3</v>
          </cell>
          <cell r="D187">
            <v>230.87469999999999</v>
          </cell>
        </row>
        <row r="188">
          <cell r="A188" t="str">
            <v>001.04.00260</v>
          </cell>
          <cell r="B188" t="str">
            <v>Fornecimento, Transporte, Lançamento e Aplicação de Concreto usinado em fundação Fck= 18 Mpa</v>
          </cell>
          <cell r="C188" t="str">
            <v>m3</v>
          </cell>
          <cell r="D188">
            <v>236.12469999999999</v>
          </cell>
        </row>
        <row r="189">
          <cell r="A189" t="str">
            <v>001.04.00280</v>
          </cell>
          <cell r="B189" t="str">
            <v>Fornecimento, Transporte, Lançamento e Aplicação de Concreto usinado em fundação Fck= 20 mpa</v>
          </cell>
          <cell r="C189" t="str">
            <v>m3</v>
          </cell>
          <cell r="D189">
            <v>249.7747</v>
          </cell>
        </row>
        <row r="190">
          <cell r="A190" t="str">
            <v>001.04.00290</v>
          </cell>
          <cell r="B190" t="str">
            <v>Fornecimento, Transporte, Lançamento e Aplicação de Concreto usinado em fundação Fck= 25 mpa</v>
          </cell>
          <cell r="C190" t="str">
            <v>m3</v>
          </cell>
          <cell r="D190">
            <v>260.2747</v>
          </cell>
        </row>
        <row r="191">
          <cell r="A191" t="str">
            <v>001.04.00300</v>
          </cell>
          <cell r="B191" t="str">
            <v>Forma inclusive desforma comum de tábua para fundações sem reaproveitamento</v>
          </cell>
          <cell r="C191" t="str">
            <v>M2</v>
          </cell>
          <cell r="D191">
            <v>33.5563</v>
          </cell>
        </row>
        <row r="192">
          <cell r="A192" t="str">
            <v>001.04.00320</v>
          </cell>
          <cell r="B192" t="str">
            <v>Forma inclusive desforma comum de tábua para fundações c/ 01 reaproveitamento</v>
          </cell>
          <cell r="C192" t="str">
            <v>M2</v>
          </cell>
          <cell r="D192">
            <v>21.167300000000001</v>
          </cell>
        </row>
        <row r="193">
          <cell r="A193" t="str">
            <v>001.04.00340</v>
          </cell>
          <cell r="B193" t="str">
            <v>Forma inclusive desforma comum de tábua para fundações c/ 02 reaproveitamentos</v>
          </cell>
          <cell r="C193" t="str">
            <v>m2</v>
          </cell>
          <cell r="D193">
            <v>17.304300000000001</v>
          </cell>
        </row>
        <row r="194">
          <cell r="A194" t="str">
            <v>001.04.00360</v>
          </cell>
          <cell r="B194" t="str">
            <v>Forma inclusive desforma comum de tábua para fundações c/ 03 reaproveitamentos</v>
          </cell>
          <cell r="C194" t="str">
            <v>m2</v>
          </cell>
          <cell r="D194">
            <v>15.972799999999999</v>
          </cell>
        </row>
        <row r="195">
          <cell r="A195" t="str">
            <v>001.04.00365</v>
          </cell>
          <cell r="B195" t="str">
            <v>Forma inclusive desforma comum de tábua para fundações c/ 04 reaproveitamentos</v>
          </cell>
          <cell r="C195" t="str">
            <v>m2</v>
          </cell>
          <cell r="D195">
            <v>15.2928</v>
          </cell>
        </row>
        <row r="196">
          <cell r="A196" t="str">
            <v>001.04.00400</v>
          </cell>
          <cell r="B196" t="str">
            <v>Fornecimento e Aplicação de Aço CA 50</v>
          </cell>
          <cell r="C196" t="str">
            <v>KG</v>
          </cell>
          <cell r="D196">
            <v>4.6759000000000004</v>
          </cell>
        </row>
        <row r="197">
          <cell r="A197" t="str">
            <v>001.04.00420</v>
          </cell>
          <cell r="B197" t="str">
            <v>Fornecimento e Aplicação de Aço CA - 60</v>
          </cell>
          <cell r="C197" t="str">
            <v>KG</v>
          </cell>
          <cell r="D197">
            <v>5.2900999999999998</v>
          </cell>
        </row>
        <row r="198">
          <cell r="A198" t="str">
            <v>001.04.00440</v>
          </cell>
          <cell r="B198" t="str">
            <v>Concreto ciclópico com 30% de pedra de mão traço 1:4:8</v>
          </cell>
          <cell r="C198" t="str">
            <v>M3</v>
          </cell>
          <cell r="D198">
            <v>160.297</v>
          </cell>
        </row>
        <row r="199">
          <cell r="A199" t="str">
            <v>001.04.00460</v>
          </cell>
          <cell r="B199" t="str">
            <v>Concreto ciclópico com 30% de pedra de mão traço 1:3:6</v>
          </cell>
          <cell r="C199" t="str">
            <v>M3</v>
          </cell>
          <cell r="D199">
            <v>169.07249999999999</v>
          </cell>
        </row>
        <row r="200">
          <cell r="A200" t="str">
            <v>001.04.00480</v>
          </cell>
          <cell r="B200" t="str">
            <v>Execução de Alvenaria de fundação e embasamento em tijolo maciço assente c/  o traço 1:4:12, cimento, cal e areia</v>
          </cell>
          <cell r="C200" t="str">
            <v>M3</v>
          </cell>
          <cell r="D200">
            <v>169.40549999999999</v>
          </cell>
        </row>
        <row r="201">
          <cell r="A201" t="str">
            <v>001.04.00500</v>
          </cell>
          <cell r="B201" t="str">
            <v>Execução de Alvenaria de fundação e embasamento em tijolo maciço assente c/ o traço 1:3, cimento e areia</v>
          </cell>
          <cell r="C201" t="str">
            <v>M3</v>
          </cell>
          <cell r="D201">
            <v>224.51480000000001</v>
          </cell>
        </row>
        <row r="202">
          <cell r="A202" t="str">
            <v>001.04.00520</v>
          </cell>
          <cell r="B202" t="str">
            <v>Execução de Alvenaria de fundação e embasamento em tijolo maciço assente c/ o traço 1:4 cimento e areia</v>
          </cell>
          <cell r="C202" t="str">
            <v>M3</v>
          </cell>
          <cell r="D202">
            <v>216.3278</v>
          </cell>
        </row>
        <row r="203">
          <cell r="A203" t="str">
            <v>001.04.00540</v>
          </cell>
          <cell r="B203" t="str">
            <v>Execução de Alvenaria de fundação e embasamento em tijolo maciço assente c/ o traço 1:5 cimento e areia</v>
          </cell>
          <cell r="C203" t="str">
            <v>M3</v>
          </cell>
          <cell r="D203">
            <v>211.26150000000001</v>
          </cell>
        </row>
        <row r="204">
          <cell r="A204" t="str">
            <v>001.04.00560</v>
          </cell>
          <cell r="B204" t="str">
            <v>Execução de Alvenaria de fundação e embasamento em tijolo maiciço assente c/ argamassa 1:3 c/adição de vedacit a 2 kg p/saco de cimento</v>
          </cell>
          <cell r="C204" t="str">
            <v>M3</v>
          </cell>
          <cell r="D204">
            <v>236.77549999999999</v>
          </cell>
        </row>
        <row r="205">
          <cell r="A205" t="str">
            <v>001.04.00580</v>
          </cell>
          <cell r="B205" t="str">
            <v>Execução de Alvenaria de tijolo comum em espelho p/ cinta de fundação (forma), assente c/ argamassa de cimento e areia 1:3</v>
          </cell>
          <cell r="C205" t="str">
            <v>M2</v>
          </cell>
          <cell r="D205">
            <v>15.642200000000001</v>
          </cell>
        </row>
        <row r="206">
          <cell r="A206" t="str">
            <v>001.04.00600</v>
          </cell>
          <cell r="B206" t="str">
            <v>Execução de Alvenaria de tijolo comum em espelho p/ cinta de fundação (forma), assente c/ argamassa de cimento e areia 1:4</v>
          </cell>
          <cell r="C206" t="str">
            <v>M2</v>
          </cell>
          <cell r="D206">
            <v>15.440200000000001</v>
          </cell>
        </row>
        <row r="207">
          <cell r="A207" t="str">
            <v>001.04.00620</v>
          </cell>
          <cell r="B207" t="str">
            <v>Confecção e lançamento de concreto em tubulão a céu aberto empregando concreto fck 150 mpa</v>
          </cell>
          <cell r="C207" t="str">
            <v>M3</v>
          </cell>
          <cell r="D207">
            <v>207.76410000000001</v>
          </cell>
        </row>
        <row r="208">
          <cell r="A208" t="str">
            <v>001.04.00640</v>
          </cell>
          <cell r="B208" t="str">
            <v>Confecção e lançamento de concreto em tubulão a céu aberto empregando concreto pré-misturado fck 15 mpa</v>
          </cell>
          <cell r="C208" t="str">
            <v>M3</v>
          </cell>
          <cell r="D208">
            <v>228.97120000000001</v>
          </cell>
        </row>
        <row r="209">
          <cell r="A209" t="str">
            <v>001.04.00660</v>
          </cell>
          <cell r="B209" t="str">
            <v>Execução de Broca de concreto armado no traço 1:3:6 até 4 m profundidade e c/ diâmetro 20 cm (escavação manual)</v>
          </cell>
          <cell r="C209" t="str">
            <v>ml</v>
          </cell>
          <cell r="D209">
            <v>15.726100000000001</v>
          </cell>
        </row>
        <row r="210">
          <cell r="A210" t="str">
            <v>001.04.00680</v>
          </cell>
          <cell r="B210" t="str">
            <v>Execução de Broca de concreto armado no traço 1:3:6 até 4 m profundidade e c/ diâmetro 25 cm (escavação manual)</v>
          </cell>
          <cell r="C210" t="str">
            <v>ml</v>
          </cell>
          <cell r="D210">
            <v>23.283100000000001</v>
          </cell>
        </row>
        <row r="211">
          <cell r="A211" t="str">
            <v>001.04.00700</v>
          </cell>
          <cell r="B211" t="str">
            <v>Execução de Broca de concreto armado no traço 1:3:6 até 4 m profundidade e c/ diâmetro 30 cm (escavação manual)</v>
          </cell>
          <cell r="C211" t="str">
            <v>ml</v>
          </cell>
          <cell r="D211">
            <v>32.720700000000001</v>
          </cell>
        </row>
        <row r="212">
          <cell r="A212" t="str">
            <v>001.04.00720</v>
          </cell>
          <cell r="B212" t="str">
            <v>Execução de Broca de concreto armado no traço 1:3:6 de 4 m até 6 m de profundidade e c/ diâmetro 25 cm (escavação manual)</v>
          </cell>
          <cell r="C212" t="str">
            <v>ml</v>
          </cell>
          <cell r="D212">
            <v>25.244</v>
          </cell>
        </row>
        <row r="213">
          <cell r="A213" t="str">
            <v>001.04.00740</v>
          </cell>
          <cell r="B213" t="str">
            <v>Execução de Broca de concreto armado no traço 1:3:6 de 4 m até 6 m de profundidade e c/ diâmetro 30 cm (escavação manual)</v>
          </cell>
          <cell r="C213" t="str">
            <v>ml</v>
          </cell>
          <cell r="D213">
            <v>36.314799999999998</v>
          </cell>
        </row>
        <row r="214">
          <cell r="A214" t="str">
            <v>001.04.00760</v>
          </cell>
          <cell r="B214" t="str">
            <v>Fornecimento e Cravação de estaca de concreto fck=15 mpa moldada no local diâmetro 25 cm tipo """"straus""""</v>
          </cell>
          <cell r="C214" t="str">
            <v>M</v>
          </cell>
          <cell r="D214">
            <v>40.098199999999999</v>
          </cell>
        </row>
        <row r="215">
          <cell r="A215" t="str">
            <v>001.04.00780</v>
          </cell>
          <cell r="B215" t="str">
            <v>Fornecimento e Cravação de estaca de concreto fck=15 mpa moldada no local diâmetro 32 cm tipo """"straus""""</v>
          </cell>
          <cell r="C215" t="str">
            <v>M</v>
          </cell>
          <cell r="D215">
            <v>58.744199999999999</v>
          </cell>
        </row>
        <row r="216">
          <cell r="A216" t="str">
            <v>001.04.00790</v>
          </cell>
          <cell r="B216" t="str">
            <v>Fornecimento e Cravação de Estaca de Concreto Pré Moldada Dim. 17.50 x 17.50 cm - 20 T</v>
          </cell>
          <cell r="C216" t="str">
            <v>ml</v>
          </cell>
          <cell r="D216">
            <v>30.5</v>
          </cell>
        </row>
        <row r="217">
          <cell r="A217" t="str">
            <v>001.04.00800</v>
          </cell>
          <cell r="B217" t="str">
            <v>Fornecimento e Cravação de Estaca de Concreto Pré-Moldada Dim (26,5x26,5)cm - 30 T</v>
          </cell>
          <cell r="C217" t="str">
            <v>ml</v>
          </cell>
          <cell r="D217">
            <v>49.4</v>
          </cell>
        </row>
        <row r="218">
          <cell r="A218" t="str">
            <v>001.04.00820</v>
          </cell>
          <cell r="B218" t="str">
            <v>Fornecimento e Instalação de emenda em estaca pré-moldada de concreto</v>
          </cell>
          <cell r="C218" t="str">
            <v>UN</v>
          </cell>
          <cell r="D218">
            <v>20</v>
          </cell>
        </row>
        <row r="219">
          <cell r="A219" t="str">
            <v>001.04.00840</v>
          </cell>
          <cell r="B219" t="str">
            <v>Lastro de brita granítica apiloado manualmente</v>
          </cell>
          <cell r="C219" t="str">
            <v>m3</v>
          </cell>
          <cell r="D219">
            <v>46.764000000000003</v>
          </cell>
        </row>
        <row r="220">
          <cell r="A220" t="str">
            <v>001.04.00860</v>
          </cell>
          <cell r="B220" t="str">
            <v>Lastro de areia média a grossa apiloado manualmente</v>
          </cell>
          <cell r="C220" t="str">
            <v>m3</v>
          </cell>
          <cell r="D220">
            <v>30.614000000000001</v>
          </cell>
        </row>
        <row r="221">
          <cell r="A221" t="str">
            <v>001.05</v>
          </cell>
          <cell r="B221" t="str">
            <v>ESTRUTURA</v>
          </cell>
          <cell r="D221">
            <v>5099.8338000000003</v>
          </cell>
        </row>
        <row r="222">
          <cell r="A222" t="str">
            <v>001.05.00020</v>
          </cell>
          <cell r="B222" t="str">
            <v>Fornecimento, confecção, transporte e aplicação de concreto 15 Mpa (280 kgcimento/m3),em estrutura, virado na obra, composto por cimento portland CP 32 F, areia lavada tipo média a grossa, seixo rolado, e equipamentos.</v>
          </cell>
          <cell r="C222" t="str">
            <v>m3</v>
          </cell>
          <cell r="D222">
            <v>176.6679</v>
          </cell>
        </row>
        <row r="223">
          <cell r="A223" t="str">
            <v>001.05.00021</v>
          </cell>
          <cell r="B223" t="str">
            <v>Fornecimento, confecção, transporte e aplicação de concreto 18 Mpa (305 kgcimento/m3) em estrutura, virado na obra, composto por cimento portland CP 32 F, areia lavada tipo média a grossa, seixo rolado, e equipamentos.</v>
          </cell>
          <cell r="C223" t="str">
            <v>m3</v>
          </cell>
          <cell r="D223">
            <v>183.4579</v>
          </cell>
        </row>
        <row r="224">
          <cell r="A224" t="str">
            <v>001.05.00022</v>
          </cell>
          <cell r="B224" t="str">
            <v>Fornecimento, confecção, transporte e aplicação de concreto 20 Mpa (322 kgcimento/m3) em estrutura, virado na obra, composto por cimento portland CP 32 F, areia lavada tipo média a grossa, seixo rolado, e equipamentos.</v>
          </cell>
          <cell r="C224" t="str">
            <v>m3</v>
          </cell>
          <cell r="D224">
            <v>197.38730000000001</v>
          </cell>
        </row>
        <row r="225">
          <cell r="A225" t="str">
            <v>001.05.00023</v>
          </cell>
          <cell r="B225" t="str">
            <v>Fornecimento, confecção, transporte e aplicação de concreto 21 Mpa (331 kgcimento/m3) em estrutura, virado na obra, composto por cimento portland CP 32 F, areia lavada tipo média a grossa, seixo rolado, e equipamentos.</v>
          </cell>
          <cell r="C225" t="str">
            <v>m3</v>
          </cell>
          <cell r="D225">
            <v>190.51490000000001</v>
          </cell>
        </row>
        <row r="226">
          <cell r="A226" t="str">
            <v>001.05.00024</v>
          </cell>
          <cell r="B226" t="str">
            <v>Fornecimento, confecção, transporte e aplicação de concreto 25 Mpa (367 kgcimento/m3) em estrutura, virado na obra, composto por cimento portland CP 32 F, areia lavada tipo média a grossa, seixo rolado, e equipamentos.</v>
          </cell>
          <cell r="C226" t="str">
            <v>m3</v>
          </cell>
          <cell r="D226">
            <v>200.28790000000001</v>
          </cell>
        </row>
        <row r="227">
          <cell r="A227" t="str">
            <v>001.05.00030</v>
          </cell>
          <cell r="B227" t="str">
            <v>Fornecimento, confecção, transporte e aplicação de concreto 15 Mpa (280 kgcimento/m3),em estrutura, virado na obra, composto por cimento portland CP 32 F, areia lavada tipo média a grossa, pedra granitica britada, e equipamentos.</v>
          </cell>
          <cell r="C227" t="str">
            <v>m3</v>
          </cell>
          <cell r="D227">
            <v>185.98929999999999</v>
          </cell>
        </row>
        <row r="228">
          <cell r="A228" t="str">
            <v>001.05.00031</v>
          </cell>
          <cell r="B228" t="str">
            <v>Fornecimento, confecção, transporte e aplicação de concreto 18 Mpa (305 kgcimento/m3) em estrutura, virado na obra, composto por cimento portland CP 32 F, areia lavada tipo média a grossa, pedra granitica britada, e equipamentos.</v>
          </cell>
          <cell r="C228" t="str">
            <v>m3</v>
          </cell>
          <cell r="D228">
            <v>192.77930000000001</v>
          </cell>
        </row>
        <row r="229">
          <cell r="A229" t="str">
            <v>001.05.00032</v>
          </cell>
          <cell r="B229" t="str">
            <v>Fornecimento, confecção, transporte e aplicação de concreto 20 Mpa (322 kgcimento/m3) em estrutura, virado na obra, composto por cimento portland CP 32 F, areia lavada tipo média a grossa, pedra granitica britada, e equipamentos.</v>
          </cell>
          <cell r="C229" t="str">
            <v>m3</v>
          </cell>
          <cell r="D229">
            <v>197.38730000000001</v>
          </cell>
        </row>
        <row r="230">
          <cell r="A230" t="str">
            <v>001.05.00033</v>
          </cell>
          <cell r="B230" t="str">
            <v>Fornecimento, confecção, transporte e aplicação de concreto 21 Mpa (322 kgcimento/m3) em estrutura, virado na obra, composto por cimento portland CP 32 F, areia lavada tipo média a grossa, pedra granitica britada, e equipamentos.</v>
          </cell>
          <cell r="C230" t="str">
            <v>m3</v>
          </cell>
          <cell r="D230">
            <v>199.83629999999999</v>
          </cell>
        </row>
        <row r="231">
          <cell r="A231" t="str">
            <v>001.05.00034</v>
          </cell>
          <cell r="B231" t="str">
            <v>Fornecimento, confecção, transporte e aplicação de concreto 25 Mpa (367 kgcimento/m3) em estrutura, virado na obra, composto por cimento portland CP 32 F, areia lavada tipo média a grossa, pedra granitica britada, e equipamentos.</v>
          </cell>
          <cell r="C231" t="str">
            <v>m3</v>
          </cell>
          <cell r="D231">
            <v>217.22329999999999</v>
          </cell>
        </row>
        <row r="232">
          <cell r="A232" t="str">
            <v>001.05.00140</v>
          </cell>
          <cell r="B232" t="str">
            <v>Fornecimento, Transporte, Lançamento, Adensamento e Acabamento Manual de Concreto Usinado Fck= 13,50 Mpa, em Estrutura.</v>
          </cell>
          <cell r="C232" t="str">
            <v>m3</v>
          </cell>
          <cell r="D232">
            <v>215.1591</v>
          </cell>
        </row>
        <row r="233">
          <cell r="A233" t="str">
            <v>001.05.00160</v>
          </cell>
          <cell r="B233" t="str">
            <v>Fornecimento, Transporte, Lançamento, Adensamento e Acabamento Manual de Concreto Usinado Fck= 15 Mpa, em Estrutura.</v>
          </cell>
          <cell r="C233" t="str">
            <v>m3</v>
          </cell>
          <cell r="D233">
            <v>226.70910000000001</v>
          </cell>
        </row>
        <row r="234">
          <cell r="A234" t="str">
            <v>001.05.00180</v>
          </cell>
          <cell r="B234" t="str">
            <v>Fornecimento, Transporte, Lançamento, Adensamento e Acabamento Manual de Concreto Usinado Fck= 18 Mpa, em Estrutura.</v>
          </cell>
          <cell r="C234" t="str">
            <v>m3</v>
          </cell>
          <cell r="D234">
            <v>231.95910000000001</v>
          </cell>
        </row>
        <row r="235">
          <cell r="A235" t="str">
            <v>001.05.00200</v>
          </cell>
          <cell r="B235" t="str">
            <v>Fornecimento, Transporte, Lançamento, Adensamento e Acabamento Manual de Concreto Usinado Fck= 20 Mpa, em Estrutura.</v>
          </cell>
          <cell r="C235" t="str">
            <v>m3</v>
          </cell>
          <cell r="D235">
            <v>245.60910000000001</v>
          </cell>
        </row>
        <row r="236">
          <cell r="A236" t="str">
            <v>001.05.00220</v>
          </cell>
          <cell r="B236" t="str">
            <v>Fornecimento, Transporte, Lançamento, Adensamento e Acabamento Manual de Concreto Usinado Fck= 25 Mpa, em Estrutura.</v>
          </cell>
          <cell r="C236" t="str">
            <v>m3</v>
          </cell>
          <cell r="D236">
            <v>256.10910000000001</v>
          </cell>
        </row>
        <row r="237">
          <cell r="A237" t="str">
            <v>001.05.00230</v>
          </cell>
          <cell r="B237" t="str">
            <v>Fornecimento e Aplicação de Concreto em Estrutura Fck= 13,50 Mpa (não está incluso o bombeamento)</v>
          </cell>
          <cell r="C237" t="str">
            <v>m3</v>
          </cell>
          <cell r="D237">
            <v>198.78899999999999</v>
          </cell>
        </row>
        <row r="238">
          <cell r="A238" t="str">
            <v>001.05.00231</v>
          </cell>
          <cell r="B238" t="str">
            <v>Fornecimento e Aplicação de Concreto em Estrutura Fck= 15 Mpa (não está incluso o bombeamento)</v>
          </cell>
          <cell r="C238" t="str">
            <v>m3</v>
          </cell>
          <cell r="D238">
            <v>210.339</v>
          </cell>
        </row>
        <row r="239">
          <cell r="A239" t="str">
            <v>001.05.00232</v>
          </cell>
          <cell r="B239" t="str">
            <v>Fornecimento e Aplicação de Concreto em Estrutura Fck= 18 Mpa (não está incluso o bombeamento)</v>
          </cell>
          <cell r="C239" t="str">
            <v>m3</v>
          </cell>
          <cell r="D239">
            <v>215.589</v>
          </cell>
        </row>
        <row r="240">
          <cell r="A240" t="str">
            <v>001.05.00233</v>
          </cell>
          <cell r="B240" t="str">
            <v>Fornecimento e Aplicação de Concreto em Estrutura Fck= 20 Mpa (não está incluso o bombeamento)</v>
          </cell>
          <cell r="C240" t="str">
            <v>m3</v>
          </cell>
          <cell r="D240">
            <v>229.239</v>
          </cell>
        </row>
        <row r="241">
          <cell r="A241" t="str">
            <v>001.05.00234</v>
          </cell>
          <cell r="B241" t="str">
            <v>Fornecimento e Aplicação de Concreto em Estrutura Fck= 25 Mpa (não está incluso o bombeamento)</v>
          </cell>
          <cell r="C241" t="str">
            <v>m3</v>
          </cell>
          <cell r="D241">
            <v>239.739</v>
          </cell>
        </row>
        <row r="242">
          <cell r="A242" t="str">
            <v>001.05.00235</v>
          </cell>
          <cell r="B242" t="str">
            <v>Serviço de Bombeamento de Concreto em Estrutura</v>
          </cell>
          <cell r="C242" t="str">
            <v>m3</v>
          </cell>
          <cell r="D242">
            <v>20</v>
          </cell>
        </row>
        <row r="243">
          <cell r="A243" t="str">
            <v>001.05.00260</v>
          </cell>
          <cell r="B243" t="str">
            <v>Fornecimento e Aplicação de Aço  CA 50 em estrutura</v>
          </cell>
          <cell r="C243" t="str">
            <v>KG</v>
          </cell>
          <cell r="D243">
            <v>4.6759000000000004</v>
          </cell>
        </row>
        <row r="244">
          <cell r="A244" t="str">
            <v>001.05.00280</v>
          </cell>
          <cell r="B244" t="str">
            <v>Fornecimento e Aplicação de Aço CA 60 em estrutura</v>
          </cell>
          <cell r="C244" t="str">
            <v>KG</v>
          </cell>
          <cell r="D244">
            <v>5.2900999999999998</v>
          </cell>
        </row>
        <row r="245">
          <cell r="A245" t="str">
            <v>001.05.00300</v>
          </cell>
          <cell r="B245" t="str">
            <v>Fornecimento e Aplicação de Aço em tela soldada 4.20 mm com malha 15x15 cm - Q 92</v>
          </cell>
          <cell r="C245" t="str">
            <v>m2</v>
          </cell>
          <cell r="D245">
            <v>9.0431000000000008</v>
          </cell>
        </row>
        <row r="246">
          <cell r="A246" t="str">
            <v>001.05.00320</v>
          </cell>
          <cell r="B246" t="str">
            <v>Confecção e Montagem de Forma incl. desforma comum de tábua  sem reaproveitamento</v>
          </cell>
          <cell r="C246" t="str">
            <v>M2</v>
          </cell>
          <cell r="D246">
            <v>43.644599999999997</v>
          </cell>
        </row>
        <row r="247">
          <cell r="A247" t="str">
            <v>001.05.00340</v>
          </cell>
          <cell r="B247" t="str">
            <v>Confecção e Montagem de Forma incl. desforma comum de tábua com 01 reaproveitamento</v>
          </cell>
          <cell r="C247" t="str">
            <v>M2</v>
          </cell>
          <cell r="D247">
            <v>26.484300000000001</v>
          </cell>
        </row>
        <row r="248">
          <cell r="A248" t="str">
            <v>001.05.00360</v>
          </cell>
          <cell r="B248" t="str">
            <v>Confecção e Montagem de Forma incl. desforma comum de tábua com 02 reaproveitamentos</v>
          </cell>
          <cell r="C248" t="str">
            <v>m2</v>
          </cell>
          <cell r="D248">
            <v>21.256499999999999</v>
          </cell>
        </row>
        <row r="249">
          <cell r="A249" t="str">
            <v>001.05.00365</v>
          </cell>
          <cell r="B249" t="str">
            <v>Confecção e Montagem de Forma incl. desforma comum de tábua  com 03 reaproveitamentos</v>
          </cell>
          <cell r="C249" t="str">
            <v>m2</v>
          </cell>
          <cell r="D249">
            <v>17.490200000000002</v>
          </cell>
        </row>
        <row r="250">
          <cell r="A250" t="str">
            <v>001.05.00370</v>
          </cell>
          <cell r="B250" t="str">
            <v>Confecção e Montagem de Forma incl. desforma comum de tábua  com 04 reaproveitamentos</v>
          </cell>
          <cell r="C250" t="str">
            <v>m2</v>
          </cell>
          <cell r="D250">
            <v>15.7019</v>
          </cell>
        </row>
        <row r="251">
          <cell r="A251" t="str">
            <v>001.05.00420</v>
          </cell>
          <cell r="B251" t="str">
            <v>Confecção e Montagem de Forma especial em chapa de madeira compensada do tipo resinada c/ 12 mm de espessura sem reaproveitamento</v>
          </cell>
          <cell r="C251" t="str">
            <v>M2</v>
          </cell>
          <cell r="D251">
            <v>42.938099999999999</v>
          </cell>
        </row>
        <row r="252">
          <cell r="A252" t="str">
            <v>001.05.00440</v>
          </cell>
          <cell r="B252" t="str">
            <v>Confecção e Montagem de Forma especial em chapa de madeira compensada do tipo resinada c/ 12 mm de espessura com 01 reaproveitamento</v>
          </cell>
          <cell r="C252" t="str">
            <v>M2</v>
          </cell>
          <cell r="D252">
            <v>36.784999999999997</v>
          </cell>
        </row>
        <row r="253">
          <cell r="A253" t="str">
            <v>001.05.00460</v>
          </cell>
          <cell r="B253" t="str">
            <v>Confecção e Montagem de Forma especial em chapa de madeira compensada do tipo resinada c/ 12 mm de espessura com 02 reaproveitamento</v>
          </cell>
          <cell r="C253" t="str">
            <v>m2</v>
          </cell>
          <cell r="D253">
            <v>31.637499999999999</v>
          </cell>
        </row>
        <row r="254">
          <cell r="A254" t="str">
            <v>001.05.00480</v>
          </cell>
          <cell r="B254" t="str">
            <v>Confecção e Montagem de Forma especial em chapa de madeira compensada do tipo plastificada c/ 12 mm de espessura sem reaproveitamento</v>
          </cell>
          <cell r="C254" t="str">
            <v>M2</v>
          </cell>
          <cell r="D254">
            <v>54.3521</v>
          </cell>
        </row>
        <row r="255">
          <cell r="A255" t="str">
            <v>001.05.00500</v>
          </cell>
          <cell r="B255" t="str">
            <v>Confecção e Montagem de Forma especial em chapa de madeira compensada do tipo plastificada c/ 12 mm de espessura com 01 reaproveitamento</v>
          </cell>
          <cell r="C255" t="str">
            <v>M2</v>
          </cell>
          <cell r="D255">
            <v>42.829000000000001</v>
          </cell>
        </row>
        <row r="256">
          <cell r="A256" t="str">
            <v>001.05.00520</v>
          </cell>
          <cell r="B256" t="str">
            <v>Confecção e Montagem de Forma especial em chapa de madeira compensada do tipo plastificada c/ 12 mm de espessura com 02 reaproveitamento</v>
          </cell>
          <cell r="C256" t="str">
            <v>M2</v>
          </cell>
          <cell r="D256">
            <v>34.566899999999997</v>
          </cell>
        </row>
        <row r="257">
          <cell r="A257" t="str">
            <v>001.05.00540</v>
          </cell>
          <cell r="B257" t="str">
            <v>Confecção e Montagem de Forma especial em chapa de madeira compensada do tipo plastificada c/ 12 mm de espessura com 03 reaproveitamento</v>
          </cell>
          <cell r="C257" t="str">
            <v>M2</v>
          </cell>
          <cell r="D257">
            <v>29.206600000000002</v>
          </cell>
        </row>
        <row r="258">
          <cell r="A258" t="str">
            <v>001.05.00560</v>
          </cell>
          <cell r="B258" t="str">
            <v>Confecção e Montagem de Forma especial em chapa de madeira compensada do tipo plastificada c/ 12 mm de espessura com 04 reaproveitamento</v>
          </cell>
          <cell r="C258" t="str">
            <v>M2</v>
          </cell>
          <cell r="D258">
            <v>25.8553</v>
          </cell>
        </row>
        <row r="259">
          <cell r="A259" t="str">
            <v>001.05.00660</v>
          </cell>
          <cell r="B259" t="str">
            <v>Execução de Laje pré-fabricada para forro espacamento entre vigas de 41cm a espessura da lajota de 8.00 cm e capeamento de 2.00 cm, incl tela soldada CA 60 4.20 mm 15 x 15 cm</v>
          </cell>
          <cell r="C259" t="str">
            <v>m2</v>
          </cell>
          <cell r="D259">
            <v>40.811</v>
          </cell>
        </row>
        <row r="260">
          <cell r="A260" t="str">
            <v>001.05.00680</v>
          </cell>
          <cell r="B260" t="str">
            <v>Execução de Laje pré-fabricada para piso espaçamento entre vigas de 41 cm a espessura da lajota de 8.00 cm e capeamento de 4.00 cm, incl tela soldada CA 60 4.20 mm 15 x 15 cm</v>
          </cell>
          <cell r="C260" t="str">
            <v>m2</v>
          </cell>
          <cell r="D260">
            <v>45.497900000000001</v>
          </cell>
        </row>
        <row r="261">
          <cell r="A261" t="str">
            <v>001.05.00720</v>
          </cell>
          <cell r="B261" t="str">
            <v>Execução de pilar tipo sanduíche de madeira 6x12 cm, entarugado c/ madeira através de parafusos</v>
          </cell>
          <cell r="C261" t="str">
            <v>ml</v>
          </cell>
          <cell r="D261">
            <v>20.256599999999999</v>
          </cell>
        </row>
        <row r="262">
          <cell r="A262" t="str">
            <v>001.05.00820</v>
          </cell>
          <cell r="B262" t="str">
            <v>Fornecimento e Execução de Grauteamento de Estrutura de Concreto Pré Moldado traço 1:3 incl. SuperPlastificante</v>
          </cell>
          <cell r="C262" t="str">
            <v>m3</v>
          </cell>
          <cell r="D262">
            <v>320.73930000000001</v>
          </cell>
        </row>
        <row r="263">
          <cell r="A263" t="str">
            <v>001.06</v>
          </cell>
          <cell r="B263" t="str">
            <v>IMPERMEABILIZAÇÕES E TRATAMENTOS</v>
          </cell>
          <cell r="D263">
            <v>134.8614</v>
          </cell>
        </row>
        <row r="264">
          <cell r="A264" t="str">
            <v>001.06.00020</v>
          </cell>
          <cell r="B264" t="str">
            <v>Execução de descupinização</v>
          </cell>
          <cell r="C264" t="str">
            <v>M2</v>
          </cell>
          <cell r="D264">
            <v>0.83</v>
          </cell>
        </row>
        <row r="265">
          <cell r="A265" t="str">
            <v>001.06.00040</v>
          </cell>
          <cell r="B265" t="str">
            <v>Execução de imunização de madeiramento de cobertura ou forro de madeira com aplicação de pentox claro a uma demão</v>
          </cell>
          <cell r="C265" t="str">
            <v>M2</v>
          </cell>
          <cell r="D265">
            <v>1.6774</v>
          </cell>
        </row>
        <row r="266">
          <cell r="A266" t="str">
            <v>001.06.00060</v>
          </cell>
          <cell r="B266" t="str">
            <v>Execução de pintura c/neutrol 45 c/ 02 demãos</v>
          </cell>
          <cell r="C266" t="str">
            <v>M2</v>
          </cell>
          <cell r="D266">
            <v>4.4787999999999997</v>
          </cell>
        </row>
        <row r="267">
          <cell r="A267" t="str">
            <v>001.06.00080</v>
          </cell>
          <cell r="B267" t="str">
            <v>Fornecimento e Instalação de Lona Plástica Preta ( Encerado)</v>
          </cell>
          <cell r="C267" t="str">
            <v>M2</v>
          </cell>
          <cell r="D267">
            <v>0.59719999999999995</v>
          </cell>
        </row>
        <row r="268">
          <cell r="A268" t="str">
            <v>001.06.00100</v>
          </cell>
          <cell r="B268" t="str">
            <v>Fornecimento e Instalação de Manta Tipo Bidim, com as seguintes características: permissividade de 120 l/s/m2; permeabilidade normal 4x10(-1) e resistência a tração na ruptura 425 N</v>
          </cell>
          <cell r="C268" t="str">
            <v>M2</v>
          </cell>
          <cell r="D268">
            <v>3.0371999999999999</v>
          </cell>
        </row>
        <row r="269">
          <cell r="A269" t="str">
            <v>001.06.00120</v>
          </cell>
          <cell r="B269" t="str">
            <v>Fornecimento e Instalação de Manta Tipo Bidim, com as seguintes características: permissividade de 100 l/s/m2; permeabilidade normal 4x10(-1) e resistência a tração na ruptura 750 N</v>
          </cell>
          <cell r="C269" t="str">
            <v>M2</v>
          </cell>
          <cell r="D269">
            <v>4.4127000000000001</v>
          </cell>
        </row>
        <row r="270">
          <cell r="A270" t="str">
            <v>001.06.00130</v>
          </cell>
          <cell r="B270" t="str">
            <v>Fornecimento e Aplicação de Nata de Cimento na proporção de 5 kg de cimento por m2</v>
          </cell>
          <cell r="C270" t="str">
            <v>m2</v>
          </cell>
          <cell r="D270">
            <v>1.8307</v>
          </cell>
        </row>
        <row r="271">
          <cell r="A271" t="str">
            <v>001.06.00135</v>
          </cell>
          <cell r="B271" t="str">
            <v>Fornecimento e Aplicação de chapisco de aderência c/argamassa de cimento e areia traço 1:3 e= 5 mm, incl. adesivo de alto desempenho para argamassas e chapisco.</v>
          </cell>
          <cell r="C271" t="str">
            <v>m2</v>
          </cell>
          <cell r="D271">
            <v>4.2747000000000002</v>
          </cell>
        </row>
        <row r="272">
          <cell r="A272" t="str">
            <v>001.06.00140</v>
          </cell>
          <cell r="B272" t="str">
            <v>Execução de regularização de laje com argamassa de cimento e areia 1:4 com cimento, espessura média igual a 3.00 cm, incl aplicação de nata de cimento para preparo de superficie.</v>
          </cell>
          <cell r="C272" t="str">
            <v>m2</v>
          </cell>
          <cell r="D272">
            <v>8.4360999999999997</v>
          </cell>
        </row>
        <row r="273">
          <cell r="A273" t="str">
            <v>001.06.00160</v>
          </cell>
          <cell r="B273" t="str">
            <v>Execução de proteção mecânica com argamassa de cimento e areia 1:3,espessura 2.00 cm</v>
          </cell>
          <cell r="C273" t="str">
            <v>m2</v>
          </cell>
          <cell r="D273">
            <v>6.0629</v>
          </cell>
        </row>
        <row r="274">
          <cell r="A274" t="str">
            <v>001.06.00200</v>
          </cell>
          <cell r="B274" t="str">
            <v>Execução de impermeabilização c/argamassa de cimento e areia 1:4 a 2.00 cm espessura c/ adição de 140 g/m2 de impermeabilizante, aplicação em parede como revestimento.</v>
          </cell>
          <cell r="C274" t="str">
            <v>m2</v>
          </cell>
          <cell r="D274">
            <v>14.679600000000001</v>
          </cell>
        </row>
        <row r="275">
          <cell r="A275" t="str">
            <v>001.06.00220</v>
          </cell>
          <cell r="B275" t="str">
            <v>Execução de impermeabilização c/argamassa de cimento e areia 1:3 a 2.50 cm espessura c/ adição de 185 g/m2 de impermeabilizante, para impermeabilização de Reservatórios.</v>
          </cell>
          <cell r="C275" t="str">
            <v>m2</v>
          </cell>
          <cell r="D275">
            <v>15.3651</v>
          </cell>
        </row>
        <row r="276">
          <cell r="A276" t="str">
            <v>001.06.00240</v>
          </cell>
          <cell r="B276" t="str">
            <v>Fornecimento e Aplicação de Impermeabilizante Cristalizante Sobre Superfície Perfeitamente Regularizada</v>
          </cell>
          <cell r="C276" t="str">
            <v>m2</v>
          </cell>
          <cell r="D276">
            <v>6.7892999999999999</v>
          </cell>
        </row>
        <row r="277">
          <cell r="A277" t="str">
            <v>001.06.00300</v>
          </cell>
          <cell r="B277" t="str">
            <v>Execução de impermeabilização de laje de cobertura com utilização de manta asfáltica poliéster 3.00 mm</v>
          </cell>
          <cell r="C277" t="str">
            <v>M2</v>
          </cell>
          <cell r="D277">
            <v>26.46</v>
          </cell>
        </row>
        <row r="278">
          <cell r="A278" t="str">
            <v>001.06.00320</v>
          </cell>
          <cell r="B278" t="str">
            <v>Execução de impermeabilização de laje de cobertura com utilização de manta asfáltica poliéster 4.00 mm</v>
          </cell>
          <cell r="C278" t="str">
            <v>M2</v>
          </cell>
          <cell r="D278">
            <v>28.497</v>
          </cell>
        </row>
        <row r="279">
          <cell r="A279" t="str">
            <v>001.06.00340</v>
          </cell>
          <cell r="B279" t="str">
            <v>Fornecimento e Aplicação de Isopor e = 5,00 cm, conf. Det. Sinfra n.01</v>
          </cell>
          <cell r="C279" t="str">
            <v>M2</v>
          </cell>
          <cell r="D279">
            <v>7.4326999999999996</v>
          </cell>
        </row>
        <row r="280">
          <cell r="A280" t="str">
            <v>001.07</v>
          </cell>
          <cell r="B280" t="str">
            <v>ALVENARIA</v>
          </cell>
          <cell r="D280">
            <v>1844.6894</v>
          </cell>
        </row>
        <row r="281">
          <cell r="A281" t="str">
            <v>001.07.00020</v>
          </cell>
          <cell r="B281" t="str">
            <v>Execução de alvenaria de elevação de tijolo maciço assente c/ argamassa de cimento e areia no traço 1:3 de 1/4 vez</v>
          </cell>
          <cell r="C281" t="str">
            <v>M2</v>
          </cell>
          <cell r="D281">
            <v>16.777699999999999</v>
          </cell>
        </row>
        <row r="282">
          <cell r="A282" t="str">
            <v>001.07.00040</v>
          </cell>
          <cell r="B282" t="str">
            <v>Execução de alvenaria de elevação de tijolo maciço assente c/ argamassa de cimento e areia no traço 1:3 de 1/2 vez</v>
          </cell>
          <cell r="C282" t="str">
            <v>M2</v>
          </cell>
          <cell r="D282">
            <v>31.524699999999999</v>
          </cell>
        </row>
        <row r="283">
          <cell r="A283" t="str">
            <v>001.07.00060</v>
          </cell>
          <cell r="B283" t="str">
            <v>Execução de alvenaria de elevação de tijolo maciço assente c/ argamassa de cimento e areia no traço 1:3 de 1 vez</v>
          </cell>
          <cell r="C283" t="str">
            <v>M2</v>
          </cell>
          <cell r="D283">
            <v>55.713500000000003</v>
          </cell>
        </row>
        <row r="284">
          <cell r="A284" t="str">
            <v>001.07.00080</v>
          </cell>
          <cell r="B284" t="str">
            <v>Execução de alvenaria de elevação de tijolo maciço assente c/ argamassa de cal e areia no traço de 1:4 de 1/4 vez</v>
          </cell>
          <cell r="C284" t="str">
            <v>M2</v>
          </cell>
          <cell r="D284">
            <v>14.9764</v>
          </cell>
        </row>
        <row r="285">
          <cell r="A285" t="str">
            <v>001.07.00100</v>
          </cell>
          <cell r="B285" t="str">
            <v>Execução de alvenaria de elevação de tijolo maciço assente c/ argamassa de cal e areia no traço de 1:4 de 1/2 vez</v>
          </cell>
          <cell r="C285" t="str">
            <v>M2</v>
          </cell>
          <cell r="D285">
            <v>27.887599999999999</v>
          </cell>
        </row>
        <row r="286">
          <cell r="A286" t="str">
            <v>001.07.00120</v>
          </cell>
          <cell r="B286" t="str">
            <v>Execução de alvenaria de elevação de tijolo maciço assente c/ argamassa de cal e areia no traço de 1:4 de 1 vez</v>
          </cell>
          <cell r="C286" t="str">
            <v>M2</v>
          </cell>
          <cell r="D286">
            <v>50.272199999999998</v>
          </cell>
        </row>
        <row r="287">
          <cell r="A287" t="str">
            <v>001.07.00140</v>
          </cell>
          <cell r="B287" t="str">
            <v>Execução de alvenaria de tijolo maciço assente c/ argamassa de cimento e areia no traço 1:4 de 1/4 vez</v>
          </cell>
          <cell r="C287" t="str">
            <v>M2</v>
          </cell>
          <cell r="D287">
            <v>17.266100000000002</v>
          </cell>
        </row>
        <row r="288">
          <cell r="A288" t="str">
            <v>001.07.00160</v>
          </cell>
          <cell r="B288" t="str">
            <v>Execução de alvenaria de tijolo maciço assente c/ argamassa de cimento e areia no traço 1:4 de 1/2 vez</v>
          </cell>
          <cell r="C288" t="str">
            <v>M2</v>
          </cell>
          <cell r="D288">
            <v>29.367699999999999</v>
          </cell>
        </row>
        <row r="289">
          <cell r="A289" t="str">
            <v>001.07.00180</v>
          </cell>
          <cell r="B289" t="str">
            <v>Execução de alvenaria de tijolo maciço assente c/ argamassa de cimento e areia no traço 1:4 de 1 vez</v>
          </cell>
          <cell r="C289" t="str">
            <v>M2</v>
          </cell>
          <cell r="D289">
            <v>54.098999999999997</v>
          </cell>
        </row>
        <row r="290">
          <cell r="A290" t="str">
            <v>001.07.00200</v>
          </cell>
          <cell r="B290" t="str">
            <v>Execução de alvenaria de elevação c/ tijolo maciço assente c/ argamassa mista de cimento cal e areia no traço 1:2:8 de de 1/4 vez</v>
          </cell>
          <cell r="C290" t="str">
            <v>M2</v>
          </cell>
          <cell r="D290">
            <v>15.995900000000001</v>
          </cell>
        </row>
        <row r="291">
          <cell r="A291" t="str">
            <v>001.07.00220</v>
          </cell>
          <cell r="B291" t="str">
            <v>Execução de alvenaria de elevação c/ tijolo maciço assente c/ argamassa mista de cimento cal e areia no traço 1:2:8 de de 1/2 vez</v>
          </cell>
          <cell r="C291" t="str">
            <v>M2</v>
          </cell>
          <cell r="D291">
            <v>30.2836</v>
          </cell>
        </row>
        <row r="292">
          <cell r="A292" t="str">
            <v>001.07.00240</v>
          </cell>
          <cell r="B292" t="str">
            <v>Execução de alvenaria de elevação c/ tijolo maciço assente c/ argamassa mista de cimento cal e areia no traço 1:2:8 de de 1 vez</v>
          </cell>
          <cell r="C292" t="str">
            <v>M2</v>
          </cell>
          <cell r="D292">
            <v>53.873100000000001</v>
          </cell>
        </row>
        <row r="293">
          <cell r="A293" t="str">
            <v>001.07.00260</v>
          </cell>
          <cell r="B293" t="str">
            <v>Execução de alvenaria de elevação de tijolo maciço assente c/ argamassa mista 1:4:12 de 1/2 vez</v>
          </cell>
          <cell r="C293" t="str">
            <v>M2</v>
          </cell>
          <cell r="D293">
            <v>26.956700000000001</v>
          </cell>
        </row>
        <row r="294">
          <cell r="A294" t="str">
            <v>001.07.00280</v>
          </cell>
          <cell r="B294" t="str">
            <v>Execução de alvenaria de elevação de tijolo maciço assente c/ argamassa mista 1:4:12 de 1 vez</v>
          </cell>
          <cell r="C294" t="str">
            <v>M2</v>
          </cell>
          <cell r="D294">
            <v>49.000100000000003</v>
          </cell>
        </row>
        <row r="295">
          <cell r="A295" t="str">
            <v>001.07.00300</v>
          </cell>
          <cell r="B295" t="str">
            <v>Execução de alvenaria de elevação de tijolo maciço assente c/ argamassa mista 1:4:12 de 1.5 vez</v>
          </cell>
          <cell r="C295" t="str">
            <v>M2</v>
          </cell>
          <cell r="D295">
            <v>67.3352</v>
          </cell>
        </row>
        <row r="296">
          <cell r="A296" t="str">
            <v>001.07.00340</v>
          </cell>
          <cell r="B296" t="str">
            <v>Execução de alvenaria de elevação c/ tijolo cerâmico 9x19x19 assente c/ argamassa mista 1:2:8 de 1/2 vez</v>
          </cell>
          <cell r="C296" t="str">
            <v>m2</v>
          </cell>
          <cell r="D296">
            <v>11.666499999999999</v>
          </cell>
        </row>
        <row r="297">
          <cell r="A297" t="str">
            <v>001.07.00360</v>
          </cell>
          <cell r="B297" t="str">
            <v>Execução de alvenaria de elevação c/ tijolo cerâmico 9x19x19 assente c/ argamassa mista 1:2:8 de 1 vez</v>
          </cell>
          <cell r="C297" t="str">
            <v>m2</v>
          </cell>
          <cell r="D297">
            <v>23.483000000000001</v>
          </cell>
        </row>
        <row r="298">
          <cell r="A298" t="str">
            <v>001.07.00420</v>
          </cell>
          <cell r="B298" t="str">
            <v>Execução de alvenaria aparente de tijolo cerâmico c/ 18 ou 21 furos (dim. 6.00x10.00x21.00 cm) assente c/ argamassa de cimento e areia no traço 1:2:8 de 1/2 vez</v>
          </cell>
          <cell r="C298" t="str">
            <v>m2</v>
          </cell>
          <cell r="D298">
            <v>37.906599999999997</v>
          </cell>
        </row>
        <row r="299">
          <cell r="A299" t="str">
            <v>001.07.00440</v>
          </cell>
          <cell r="B299" t="str">
            <v>Execução de alvenaria aparente de tijolo cerâmico c/ 18 ou 21 furos (dim. 6.00x10.00x21.00 cm) assente c/ argamassa de cimento e areia no traço 1:2:8 de 1 vez</v>
          </cell>
          <cell r="C299" t="str">
            <v>m2</v>
          </cell>
          <cell r="D299">
            <v>81.045699999999997</v>
          </cell>
        </row>
        <row r="300">
          <cell r="A300" t="str">
            <v>001.07.00540</v>
          </cell>
          <cell r="B300" t="str">
            <v>Execução de elemento vazado de cerâmica assente c/ argamassa de cimento e areia peneirada no traço 1:3</v>
          </cell>
          <cell r="C300" t="str">
            <v>m2</v>
          </cell>
          <cell r="D300">
            <v>27.084700000000002</v>
          </cell>
        </row>
        <row r="301">
          <cell r="A301" t="str">
            <v>001.07.00550</v>
          </cell>
          <cell r="B301" t="str">
            <v>Alvenaria de vedação com bloco cerâmico furado dim. 9x19x28, com juntas de 20 mm com argamassa mista de cimento, cal hidratada e areia sem peneirar no traço 1:2:9</v>
          </cell>
          <cell r="C301" t="str">
            <v>m2</v>
          </cell>
          <cell r="D301">
            <v>12.625400000000001</v>
          </cell>
        </row>
        <row r="302">
          <cell r="A302" t="str">
            <v>001.07.00551</v>
          </cell>
          <cell r="B302" t="str">
            <v>Alvenaria de vedação com bloco cerâmico furado dim.12x19x28, com juntas de 20 mm com argamassa mista de cimento, cal hidratada e areia sem peneirar no traço 1:2:9</v>
          </cell>
          <cell r="C302" t="str">
            <v>m2</v>
          </cell>
          <cell r="D302">
            <v>15.767799999999999</v>
          </cell>
        </row>
        <row r="303">
          <cell r="A303" t="str">
            <v>001.07.00552</v>
          </cell>
          <cell r="B303" t="str">
            <v>Alvenaria de vedação com bloco cerâmico furado dim.14x19x28, com juntas de 20 mm com argamassa mista de cimento, cal hidratada e areia sem peneirar no traço 1:2:9</v>
          </cell>
          <cell r="C303" t="str">
            <v>m2</v>
          </cell>
          <cell r="D303">
            <v>20.5151</v>
          </cell>
        </row>
        <row r="304">
          <cell r="A304" t="str">
            <v>001.07.00560</v>
          </cell>
          <cell r="B304" t="str">
            <v>Alvenaria de Vedação Com Bloco de Concreto, Juntas de 10 mm Com Argamassa Mista de Cimento, Cal Hidratada e Areia Sem Peneirar no traço 1:0,50:8 dim. 11,50x19x39 cm</v>
          </cell>
          <cell r="C304" t="str">
            <v>M2</v>
          </cell>
          <cell r="D304">
            <v>15.852</v>
          </cell>
        </row>
        <row r="305">
          <cell r="A305" t="str">
            <v>001.07.00580</v>
          </cell>
          <cell r="B305" t="str">
            <v>Alvenaria de Vedação Com Bloco de Concreto, Juntas de 10 mm Com Argamassa Mista de Cimento, Cal Hidratada e Areia Sem Peneirar no traço 1:0,50:8 dim. 14x19x39 cm</v>
          </cell>
          <cell r="C305" t="str">
            <v>M2</v>
          </cell>
          <cell r="D305">
            <v>20.927600000000002</v>
          </cell>
        </row>
        <row r="306">
          <cell r="A306" t="str">
            <v>001.07.00600</v>
          </cell>
          <cell r="B306" t="str">
            <v>Alvenaria de Vedação Com Bloco de Concreto, Juntas de 10 mm Com Argamassa Mista de Cimento, Cal Hidratada e Areia Sem Peneirar no traço 1:0,50:8 dim. 19x19x39 cm</v>
          </cell>
          <cell r="C306" t="str">
            <v>M2</v>
          </cell>
          <cell r="D306">
            <v>25.4863</v>
          </cell>
        </row>
        <row r="307">
          <cell r="A307" t="str">
            <v>001.07.00620</v>
          </cell>
          <cell r="B307" t="str">
            <v>Alvenaria Estrutural Com Bloco de Concreto, Juntas de 10 mm Com Argamassa Mista de Cimento, Cal Hidratada e Areia Sem Peneirar no traço 1:0,25:6 dim. 14x19x39 cm</v>
          </cell>
          <cell r="C307" t="str">
            <v>M2</v>
          </cell>
          <cell r="D307">
            <v>22.66</v>
          </cell>
        </row>
        <row r="308">
          <cell r="A308" t="str">
            <v>001.07.00640</v>
          </cell>
          <cell r="B308" t="str">
            <v>Alvenaria Estrutural Com Bloco de Concreto, Juntas de 10 mm Com Argamassa Mista de Cimento, Cal Hidratada e Areia Sem Peneirar no traço 1:0,25:6 dim. 19x19x39 cm</v>
          </cell>
          <cell r="C308" t="str">
            <v>M2</v>
          </cell>
          <cell r="D308">
            <v>29.4238</v>
          </cell>
        </row>
        <row r="309">
          <cell r="A309" t="str">
            <v>001.07.00710</v>
          </cell>
          <cell r="B309" t="str">
            <v>Execucao de escada com degraus de tijolo macico, asente com massa forte, inclusive revestimento dos espelhos e pisos</v>
          </cell>
          <cell r="C309" t="str">
            <v>m3</v>
          </cell>
          <cell r="D309">
            <v>241.85810000000001</v>
          </cell>
        </row>
        <row r="310">
          <cell r="A310" t="str">
            <v>001.07.00720</v>
          </cell>
          <cell r="B310" t="str">
            <v>Reparo de trincas ou rachaduras em alvenaria de tijolo com ferros transversais e posteriormente refazer o acabamento conforme revestimento existente</v>
          </cell>
          <cell r="C310" t="str">
            <v>M</v>
          </cell>
          <cell r="D310">
            <v>8.8058999999999994</v>
          </cell>
        </row>
        <row r="311">
          <cell r="A311" t="str">
            <v>001.07.00790</v>
          </cell>
          <cell r="B311" t="str">
            <v>Fornecimento e instalação de caixa de concreto pré-moldado para ar condicionado de 7.000 btu</v>
          </cell>
          <cell r="C311" t="str">
            <v>un</v>
          </cell>
          <cell r="D311">
            <v>50.443199999999997</v>
          </cell>
        </row>
        <row r="312">
          <cell r="A312" t="str">
            <v>001.07.00792</v>
          </cell>
          <cell r="B312" t="str">
            <v>Fornecimento e instalação de caixa de concreto pré-moldado para ar condicionado de 10.000 btu</v>
          </cell>
          <cell r="C312" t="str">
            <v>un</v>
          </cell>
          <cell r="D312">
            <v>54.443199999999997</v>
          </cell>
        </row>
        <row r="313">
          <cell r="A313" t="str">
            <v>001.07.00794</v>
          </cell>
          <cell r="B313" t="str">
            <v>Fornecimento e instalação de caixa de concreto pré-moldado para ar condicionado de 20.000 btu</v>
          </cell>
          <cell r="C313" t="str">
            <v>un</v>
          </cell>
          <cell r="D313">
            <v>68.443200000000004</v>
          </cell>
        </row>
        <row r="314">
          <cell r="A314" t="str">
            <v>001.07.00800</v>
          </cell>
          <cell r="B314" t="str">
            <v>Verga, contra-verga ou pilar de concreto armado, incluindo concreto, forma e ferragem com concreto 13,5 mpa (300kg. cim/m3)</v>
          </cell>
          <cell r="C314" t="str">
            <v>M3</v>
          </cell>
          <cell r="D314">
            <v>534.92179999999996</v>
          </cell>
        </row>
        <row r="315">
          <cell r="A315" t="str">
            <v>001.08</v>
          </cell>
          <cell r="B315" t="str">
            <v>COBERTURA</v>
          </cell>
          <cell r="D315">
            <v>1176.3939</v>
          </cell>
        </row>
        <row r="316">
          <cell r="A316" t="str">
            <v>001.08.00005</v>
          </cell>
          <cell r="B316" t="str">
            <v>Estrutura metálica para cobertura, com especificações mínimas: perfil aço dobrado, laminado e chaparia ASTM A 36, eletrodo E6013, especificação AWS. incl. montagem e fundo anti corrosão a base de cromato de zinco</v>
          </cell>
          <cell r="C316" t="str">
            <v>kg</v>
          </cell>
          <cell r="D316">
            <v>5.625</v>
          </cell>
        </row>
        <row r="317">
          <cell r="A317" t="str">
            <v>001.08.00010</v>
          </cell>
          <cell r="B317" t="str">
            <v>Estrutura de madeira para telha de cerâmica ou de concreto, pontaletada sobre laje ou parede</v>
          </cell>
          <cell r="C317" t="str">
            <v>m2</v>
          </cell>
          <cell r="D317">
            <v>25.268599999999999</v>
          </cell>
        </row>
        <row r="318">
          <cell r="A318" t="str">
            <v>001.08.00015</v>
          </cell>
          <cell r="B318" t="str">
            <v>Estrutura de madeira para telha de fibrocimento, alumínio ou aço zincado pontaletada sobre laje ou parede</v>
          </cell>
          <cell r="C318" t="str">
            <v>m2</v>
          </cell>
          <cell r="D318">
            <v>7.6664000000000003</v>
          </cell>
        </row>
        <row r="319">
          <cell r="A319" t="str">
            <v>001.08.00080</v>
          </cell>
          <cell r="B319" t="str">
            <v>Estrutura de madeira para telhado, c/ distância entre tesouras 4.00 m, 02 águas, p/ cobertura c/ chapa ondulada de c.a. ou alumínio, com 10 m de vão</v>
          </cell>
          <cell r="C319" t="str">
            <v>m2</v>
          </cell>
          <cell r="D319">
            <v>20.342400000000001</v>
          </cell>
        </row>
        <row r="320">
          <cell r="A320" t="str">
            <v>001.08.00100</v>
          </cell>
          <cell r="B320" t="str">
            <v>Estrutura de madeira para telhado, c/ distância entre tesouras 4.00 m, 02 águas, p/ cobertura c/ chapa ondulada de c.a. ou alumínio, com 15 m de vão</v>
          </cell>
          <cell r="C320" t="str">
            <v>m2</v>
          </cell>
          <cell r="D320">
            <v>24.297899999999998</v>
          </cell>
        </row>
        <row r="321">
          <cell r="A321" t="str">
            <v>001.08.00120</v>
          </cell>
          <cell r="B321" t="str">
            <v>Estrutura de madeira para telhado, c/ distância entre tesouras 4.00 m, 02 águas, p/ cobertura c/ chapa ondulada de c.a. ou alumínio, com 20 m de vão</v>
          </cell>
          <cell r="C321" t="str">
            <v>m2</v>
          </cell>
          <cell r="D321">
            <v>30.482700000000001</v>
          </cell>
        </row>
        <row r="322">
          <cell r="A322" t="str">
            <v>001.08.00140</v>
          </cell>
          <cell r="B322" t="str">
            <v>Estrutura de madeira para telhado, c/ distância entre tesouras 4.00 m, 04 águas p/ cobertura c/ chapas onduladas de c.a ou alumínio, com 10 m de vao</v>
          </cell>
          <cell r="C322" t="str">
            <v>m2</v>
          </cell>
          <cell r="D322">
            <v>23.178999999999998</v>
          </cell>
        </row>
        <row r="323">
          <cell r="A323" t="str">
            <v>001.08.00160</v>
          </cell>
          <cell r="B323" t="str">
            <v>Execução de estrutura de madeira para telhado, c/ distância entre tesouras 4.00 m, 04 águas p/ cobertura c/ chapas onduladas de c.a ou alumínio, com 15 m de vao</v>
          </cell>
          <cell r="C323" t="str">
            <v>m2</v>
          </cell>
          <cell r="D323">
            <v>26.8645</v>
          </cell>
        </row>
        <row r="324">
          <cell r="A324" t="str">
            <v>001.08.00180</v>
          </cell>
          <cell r="B324" t="str">
            <v>Execução de estrutura de madeira para telhado, c/ distância entre tesouras 4.00 m, 04 águas p/ cobertura c/ chapas onduladas de c.a ou alumínio, com 20 m de vao</v>
          </cell>
          <cell r="C324" t="str">
            <v>m2</v>
          </cell>
          <cell r="D324">
            <v>35.208199999999998</v>
          </cell>
        </row>
        <row r="325">
          <cell r="A325" t="str">
            <v>001.08.00200</v>
          </cell>
          <cell r="B325" t="str">
            <v>Estrutura de Madeira  comum para telhado, constituído de tesouras (6x12 e 6x16 cm), terças (6x12 e 6x16 cm), caibros(5 x 6cm), ripas (1 x 5 cm) e contraventamentos p/ cobertura com telha de barro ou cerâmica de 3 a 7 m de vão</v>
          </cell>
          <cell r="C325" t="str">
            <v>m2</v>
          </cell>
          <cell r="D325">
            <v>27.703399999999998</v>
          </cell>
        </row>
        <row r="326">
          <cell r="A326" t="str">
            <v>001.08.00205</v>
          </cell>
          <cell r="B326" t="str">
            <v>Estrutura de Madeira comum para telhado, constituído de tesouras (6x12 e 6x16 cm), terças (6x12 e 6x16 cm), caibros(5 x 6cm), ripas (1 x 5 cm) e contraventamentos p/ cobertura com telha de barro ou cerâmica de 7 a 10 m de vão</v>
          </cell>
          <cell r="C326" t="str">
            <v>m2</v>
          </cell>
          <cell r="D326">
            <v>31.499500000000001</v>
          </cell>
        </row>
        <row r="327">
          <cell r="A327" t="str">
            <v>001.08.00210</v>
          </cell>
          <cell r="B327" t="str">
            <v>Estrutura de Madeira comum para telhado, constituído de tesouras (6x12 e 6x16 cm), terças (6x12 e 6x16 cm), caibros(5 x 6cm), ripas (1 x 5 cm) e contraventamentos p/ cobertura com telha de barro ou cerâmica de 10 a 13 m de vão</v>
          </cell>
          <cell r="C327" t="str">
            <v>m2</v>
          </cell>
          <cell r="D327">
            <v>35.7776</v>
          </cell>
        </row>
        <row r="328">
          <cell r="A328" t="str">
            <v>001.08.00240</v>
          </cell>
          <cell r="B328" t="str">
            <v>Estrutura de madeira para  telhas canalete 90 ou 43</v>
          </cell>
          <cell r="C328" t="str">
            <v>m2</v>
          </cell>
          <cell r="D328">
            <v>7.5975000000000001</v>
          </cell>
        </row>
        <row r="329">
          <cell r="A329" t="str">
            <v>001.08.00260</v>
          </cell>
          <cell r="B329" t="str">
            <v>Execução de estrutura de madeira para casa popular em telha ceramica</v>
          </cell>
          <cell r="C329" t="str">
            <v>m2</v>
          </cell>
          <cell r="D329">
            <v>15.370100000000001</v>
          </cell>
        </row>
        <row r="330">
          <cell r="A330" t="str">
            <v>001.08.00270</v>
          </cell>
          <cell r="B330" t="str">
            <v>Execução de Cobertura com telha cerâmica tipo ""plan"", inclinação 35%</v>
          </cell>
          <cell r="C330" t="str">
            <v>m2</v>
          </cell>
          <cell r="D330">
            <v>20.971499999999999</v>
          </cell>
        </row>
        <row r="331">
          <cell r="A331" t="str">
            <v>001.08.00275</v>
          </cell>
          <cell r="B331" t="str">
            <v>Execução de Cobertura com telha ceramica tipo portuguesa, inclinação 35%</v>
          </cell>
          <cell r="C331" t="str">
            <v>m2</v>
          </cell>
          <cell r="D331">
            <v>16.964300000000001</v>
          </cell>
        </row>
        <row r="332">
          <cell r="A332" t="str">
            <v>001.08.00280</v>
          </cell>
          <cell r="B332" t="str">
            <v>Execução de Cobertura com telha cerâmica tipo colonial, inclinação 35%</v>
          </cell>
          <cell r="C332" t="str">
            <v>m2</v>
          </cell>
          <cell r="D332">
            <v>26.0471</v>
          </cell>
        </row>
        <row r="333">
          <cell r="A333" t="str">
            <v>001.08.00285</v>
          </cell>
          <cell r="B333" t="str">
            <v>Execução de Cobertura com telha cerâmica tipo romana inclinação 35%</v>
          </cell>
          <cell r="C333" t="str">
            <v>m2</v>
          </cell>
          <cell r="D333">
            <v>16.5443</v>
          </cell>
        </row>
        <row r="334">
          <cell r="A334" t="str">
            <v>001.08.00290</v>
          </cell>
          <cell r="B334" t="str">
            <v>Execução de Cobertura com telha cerâmica tipo tipo francesa, inclinação 35%</v>
          </cell>
          <cell r="C334" t="str">
            <v>m2</v>
          </cell>
          <cell r="D334">
            <v>16.908300000000001</v>
          </cell>
        </row>
        <row r="335">
          <cell r="A335" t="str">
            <v>001.08.00300</v>
          </cell>
          <cell r="B335" t="str">
            <v>Fornecimento de Instalação de Cobertura com chapas onduladas de cimento amianto altura 24 mm, largura útil 450 mm, largura nominal  500 mm, de 4 mm de espessura, inclinação 27%</v>
          </cell>
          <cell r="C335" t="str">
            <v>m2</v>
          </cell>
          <cell r="D335">
            <v>5.5359999999999996</v>
          </cell>
        </row>
        <row r="336">
          <cell r="A336" t="str">
            <v>001.08.00305</v>
          </cell>
          <cell r="B336" t="str">
            <v>Fornecimento e Instalação de Cobertura com chapas onduladas de cimento amianto, altura 125 mm, largura útil 1.020 mm e largura nominal 1.064 mm, de 5 mm de espessura, inclinação 27%</v>
          </cell>
          <cell r="C336" t="str">
            <v>m2</v>
          </cell>
          <cell r="D336">
            <v>15.379</v>
          </cell>
        </row>
        <row r="337">
          <cell r="A337" t="str">
            <v>001.08.00310</v>
          </cell>
          <cell r="B337" t="str">
            <v>Fornecimento e Instalação de Cobertura com chapas onduladas de cimento amianto, altura 125 mm, largura útil 1.020 mm e largura nominal 1.064 mm, de 6 mm de espessura, inclinação 27%</v>
          </cell>
          <cell r="C337" t="str">
            <v>m2</v>
          </cell>
          <cell r="D337">
            <v>18.0379</v>
          </cell>
        </row>
        <row r="338">
          <cell r="A338" t="str">
            <v>001.08.00315</v>
          </cell>
          <cell r="B338" t="str">
            <v>Fornecimento e Instalação de Cobertura de cimento amianto, perfil trapezoidal,altura 181 mm, largura útil 490 mm, largura nominal 521 mm, de 8 mm de espessura, inclinação 3%</v>
          </cell>
          <cell r="C338" t="str">
            <v>m2</v>
          </cell>
          <cell r="D338">
            <v>22.775600000000001</v>
          </cell>
        </row>
        <row r="339">
          <cell r="A339" t="str">
            <v>001.08.00320</v>
          </cell>
          <cell r="B339" t="str">
            <v>Fornecimento e Instalação de Cobertura com telhas onduladas de poliester c/reforço de fibra de vidro</v>
          </cell>
          <cell r="C339" t="str">
            <v>m2</v>
          </cell>
          <cell r="D339">
            <v>29.275400000000001</v>
          </cell>
        </row>
        <row r="340">
          <cell r="A340" t="str">
            <v>001.08.00325</v>
          </cell>
          <cell r="B340" t="str">
            <v>Fornecimento e Instalação de Cobertura com telha de aço galvanizado zincado trapezoidal, trapézio alto ou baixo, com 0.43mm de espessura, incl.10%, fixada com hastes de ferro galvanizado tipo gancho, arruela de borracha e parafuso</v>
          </cell>
          <cell r="C340" t="str">
            <v>m2</v>
          </cell>
          <cell r="D340">
            <v>30.491099999999999</v>
          </cell>
        </row>
        <row r="341">
          <cell r="A341" t="str">
            <v>001.08.00330</v>
          </cell>
          <cell r="B341" t="str">
            <v>Fornecimento e Instalação de Cobertura com telha trapezoidal de aço pré-pintada eletrostaticamente em uma face, e=0,43 mm, inclinação 10%, fixada com hastes de ferro galvanizado tipo gancho, arruela de borracha e parafuso</v>
          </cell>
          <cell r="C341" t="str">
            <v>m2</v>
          </cell>
          <cell r="D341">
            <v>35.6661</v>
          </cell>
        </row>
        <row r="342">
          <cell r="A342" t="str">
            <v>001.08.00335</v>
          </cell>
          <cell r="B342" t="str">
            <v>Fornecimento e Instalação de Cobertura com telha trapezoidal de aço pré-pintada eletrostaticamente em duas faces, e=0,43 mm, inclinação 10%, fixada com hastes de ferro galvanizado tipo gancho, arruela de borracha e parafuso</v>
          </cell>
          <cell r="C342" t="str">
            <v>m2</v>
          </cell>
          <cell r="D342">
            <v>42.106099999999998</v>
          </cell>
        </row>
        <row r="343">
          <cell r="A343" t="str">
            <v>001.08.00401</v>
          </cell>
          <cell r="B343" t="str">
            <v>Execução de Cumeeira para telha de barro tipo francesa</v>
          </cell>
          <cell r="C343" t="str">
            <v>ML</v>
          </cell>
          <cell r="D343">
            <v>9.5657999999999994</v>
          </cell>
        </row>
        <row r="344">
          <cell r="A344" t="str">
            <v>001.08.00421</v>
          </cell>
          <cell r="B344" t="str">
            <v>Execução de Cumeeira para telha de barro tipo paulista ou colonial</v>
          </cell>
          <cell r="C344" t="str">
            <v>ML</v>
          </cell>
          <cell r="D344">
            <v>9.5657999999999994</v>
          </cell>
        </row>
        <row r="345">
          <cell r="A345" t="str">
            <v>001.08.00441</v>
          </cell>
          <cell r="B345" t="str">
            <v>Execução de Cumeeira para telha tipo romana</v>
          </cell>
          <cell r="C345" t="str">
            <v>ML</v>
          </cell>
          <cell r="D345">
            <v>8.9657999999999998</v>
          </cell>
        </row>
        <row r="346">
          <cell r="A346" t="str">
            <v>001.08.00561</v>
          </cell>
          <cell r="B346" t="str">
            <v>Fornecimento e Instalação de Cumeeira de cimento amianto normal p/telhas onduladas</v>
          </cell>
          <cell r="C346" t="str">
            <v>ML</v>
          </cell>
          <cell r="D346">
            <v>27.003799999999998</v>
          </cell>
        </row>
        <row r="347">
          <cell r="A347" t="str">
            <v>001.08.00581</v>
          </cell>
          <cell r="B347" t="str">
            <v>Fornecimento e Instalação de Cumeeira de cimento amianto universal p/telhas onduladas</v>
          </cell>
          <cell r="C347" t="str">
            <v>ML</v>
          </cell>
          <cell r="D347">
            <v>31.194800000000001</v>
          </cell>
        </row>
        <row r="348">
          <cell r="A348" t="str">
            <v>001.08.00601</v>
          </cell>
          <cell r="B348" t="str">
            <v>Fornecimento e Instalação de Cumeeira de cimento amianto para canalete 90</v>
          </cell>
          <cell r="C348" t="str">
            <v>ML</v>
          </cell>
          <cell r="D348">
            <v>30.819400000000002</v>
          </cell>
        </row>
        <row r="349">
          <cell r="A349" t="str">
            <v>001.08.00621</v>
          </cell>
          <cell r="B349" t="str">
            <v>Fornecimento e Instalação de Cumeeira de cimento amianto p/canalete 49</v>
          </cell>
          <cell r="C349" t="str">
            <v>ML</v>
          </cell>
          <cell r="D349">
            <v>30.819400000000002</v>
          </cell>
        </row>
        <row r="350">
          <cell r="A350" t="str">
            <v>001.08.00641</v>
          </cell>
          <cell r="B350" t="str">
            <v>Fornecimento e Instalação de Cumeeira de cimento amianto p/ telha vogatex</v>
          </cell>
          <cell r="C350" t="str">
            <v>ML</v>
          </cell>
          <cell r="D350">
            <v>7.2525000000000004</v>
          </cell>
        </row>
        <row r="351">
          <cell r="A351" t="str">
            <v>001.08.00661</v>
          </cell>
          <cell r="B351" t="str">
            <v>Fornecimento e Instalação de Tampão de cimento aminato para canalete 90 (723x215) mm</v>
          </cell>
          <cell r="C351" t="str">
            <v>UN</v>
          </cell>
          <cell r="D351">
            <v>20.029399999999999</v>
          </cell>
        </row>
        <row r="352">
          <cell r="A352" t="str">
            <v>001.08.00681</v>
          </cell>
          <cell r="B352" t="str">
            <v>Fornecimento e Instalação de Tampão de cimento amianto para cobertura c/canalete 49</v>
          </cell>
          <cell r="C352" t="str">
            <v>M2</v>
          </cell>
          <cell r="D352">
            <v>35.700200000000002</v>
          </cell>
        </row>
        <row r="353">
          <cell r="A353" t="str">
            <v>001.08.00701</v>
          </cell>
          <cell r="B353" t="str">
            <v>Fornecimento e Instalação de Tampão de cimento amianto para cobertura c/canalete 90</v>
          </cell>
          <cell r="C353" t="str">
            <v>M2</v>
          </cell>
          <cell r="D353">
            <v>51.2102</v>
          </cell>
        </row>
        <row r="354">
          <cell r="A354" t="str">
            <v>001.08.00800</v>
          </cell>
          <cell r="B354" t="str">
            <v>Fornecimento e Instalação de calha ou rufo na chapa n.26 com desenvolvimento de 25.00 cm</v>
          </cell>
          <cell r="C354" t="str">
            <v>ML</v>
          </cell>
          <cell r="D354">
            <v>12.5</v>
          </cell>
        </row>
        <row r="355">
          <cell r="A355" t="str">
            <v>001.08.00805</v>
          </cell>
          <cell r="B355" t="str">
            <v>Fornecimento e Instalação de calha ou rufo na chapa n.26 com desenvolvimento de 40.00 cm</v>
          </cell>
          <cell r="C355" t="str">
            <v>ML</v>
          </cell>
          <cell r="D355">
            <v>20</v>
          </cell>
        </row>
        <row r="356">
          <cell r="A356" t="str">
            <v>001.08.00810</v>
          </cell>
          <cell r="B356" t="str">
            <v>Fornecimento e Instalação de calha ou rufo na chapa n.24 com desenvolvimento de 25.00 cm</v>
          </cell>
          <cell r="C356" t="str">
            <v>ML</v>
          </cell>
          <cell r="D356">
            <v>13.75</v>
          </cell>
        </row>
        <row r="357">
          <cell r="A357" t="str">
            <v>001.08.00815</v>
          </cell>
          <cell r="B357" t="str">
            <v>Fornecimento e Instalação de calha ou rufo na chapa n.24 com desenvolvimento de 30.00 cm</v>
          </cell>
          <cell r="C357" t="str">
            <v>ML</v>
          </cell>
          <cell r="D357">
            <v>16.5</v>
          </cell>
        </row>
        <row r="358">
          <cell r="A358" t="str">
            <v>001.08.00820</v>
          </cell>
          <cell r="B358" t="str">
            <v>Fornecimento e Instalação de calha ou rufo na chapa n.24 com desenvolvimento de 50.00 cm</v>
          </cell>
          <cell r="C358" t="str">
            <v>ML</v>
          </cell>
          <cell r="D358">
            <v>27.5</v>
          </cell>
        </row>
        <row r="359">
          <cell r="A359" t="str">
            <v>001.08.00825</v>
          </cell>
          <cell r="B359" t="str">
            <v>Fornecimento e Instalação de calha ou rufo na chapa n.24 com desenvolvimento de 120.00 cm</v>
          </cell>
          <cell r="C359" t="str">
            <v>ML</v>
          </cell>
          <cell r="D359">
            <v>66</v>
          </cell>
        </row>
        <row r="360">
          <cell r="A360" t="str">
            <v>001.08.00830</v>
          </cell>
          <cell r="B360" t="str">
            <v>Fornecimento e Instalação de condutor na chapa n.26</v>
          </cell>
          <cell r="C360" t="str">
            <v>ML</v>
          </cell>
          <cell r="D360">
            <v>20</v>
          </cell>
        </row>
        <row r="361">
          <cell r="A361" t="str">
            <v>001.08.00835</v>
          </cell>
          <cell r="B361" t="str">
            <v>Fornecimento e Instalação de condutor na chapa n.24</v>
          </cell>
          <cell r="C361" t="str">
            <v>ML</v>
          </cell>
          <cell r="D361">
            <v>22</v>
          </cell>
        </row>
        <row r="362">
          <cell r="A362" t="str">
            <v>001.08.01181</v>
          </cell>
          <cell r="B362" t="str">
            <v>Fornecimento e Instalação de Cumeeira lisa de aluminio pré-pintada - perkron</v>
          </cell>
          <cell r="C362" t="str">
            <v>ML</v>
          </cell>
          <cell r="D362">
            <v>20.704000000000001</v>
          </cell>
        </row>
        <row r="363">
          <cell r="A363" t="str">
            <v>001.08.01261</v>
          </cell>
          <cell r="B363" t="str">
            <v>Fornecimento e Instalação de Tubo de pvc para águas pluviais inclusive braçadeira para fixação 100 mm</v>
          </cell>
          <cell r="C363" t="str">
            <v>ML</v>
          </cell>
          <cell r="D363">
            <v>12.404400000000001</v>
          </cell>
        </row>
        <row r="364">
          <cell r="A364" t="str">
            <v>001.08.01281</v>
          </cell>
          <cell r="B364" t="str">
            <v>Fornecimento e Instalação de Curva de pvc 90º diâm.100 mm</v>
          </cell>
          <cell r="C364" t="str">
            <v>un</v>
          </cell>
          <cell r="D364">
            <v>13.850899999999999</v>
          </cell>
        </row>
        <row r="365">
          <cell r="A365" t="str">
            <v>001.08.01301</v>
          </cell>
          <cell r="B365" t="str">
            <v>Fornecimento e Instalação de Ralo seco vertical em ferro fundido diâm.100 mm</v>
          </cell>
          <cell r="C365" t="str">
            <v>UN</v>
          </cell>
          <cell r="D365">
            <v>12.534800000000001</v>
          </cell>
        </row>
        <row r="366">
          <cell r="A366" t="str">
            <v>001.08.01361</v>
          </cell>
          <cell r="B366" t="str">
            <v>Fornecimento e instalação de Acabamento de beiral com tabua trabalhada, tratada e envernizada 1"""" x 10""""</v>
          </cell>
          <cell r="C366" t="str">
            <v>ML</v>
          </cell>
          <cell r="D366">
            <v>10.306100000000001</v>
          </cell>
        </row>
        <row r="367">
          <cell r="A367" t="str">
            <v>001.08.01381</v>
          </cell>
          <cell r="B367" t="str">
            <v>Execução de Reparo de cobertura -  emboçamento da última fiada de telhas cerâmicas, empregando argamassa mista de cimento, cal e areia no traço 1:2:8</v>
          </cell>
          <cell r="C367" t="str">
            <v>ML</v>
          </cell>
          <cell r="D367">
            <v>3.4887000000000001</v>
          </cell>
        </row>
        <row r="368">
          <cell r="A368" t="str">
            <v>001.08.01401</v>
          </cell>
          <cell r="B368" t="str">
            <v>Execução de Reparo de cobertura -  revisão de cobertura de telhas cerâmicas com tomada de  goteiras</v>
          </cell>
          <cell r="C368" t="str">
            <v>M2</v>
          </cell>
          <cell r="D368">
            <v>0.46110000000000001</v>
          </cell>
        </row>
        <row r="369">
          <cell r="A369" t="str">
            <v>001.08.01440</v>
          </cell>
          <cell r="B369" t="str">
            <v>Execução de Reparo de cobertura - substituição de ripa de peróba</v>
          </cell>
          <cell r="C369" t="str">
            <v>m2</v>
          </cell>
          <cell r="D369">
            <v>2.6128</v>
          </cell>
        </row>
        <row r="370">
          <cell r="A370" t="str">
            <v>001.08.01441</v>
          </cell>
          <cell r="B370" t="str">
            <v>Execução de Reparo de cobertura - substituição de caibros de peróba</v>
          </cell>
          <cell r="C370" t="str">
            <v>ML</v>
          </cell>
          <cell r="D370">
            <v>3.2985000000000002</v>
          </cell>
        </row>
        <row r="371">
          <cell r="A371" t="str">
            <v>001.08.01461</v>
          </cell>
          <cell r="B371" t="str">
            <v>Execução de Reparo de cobertura - substituição de vigas de peróba 6x12 cm</v>
          </cell>
          <cell r="C371" t="str">
            <v>ML</v>
          </cell>
          <cell r="D371">
            <v>9.8161000000000005</v>
          </cell>
        </row>
        <row r="372">
          <cell r="A372" t="str">
            <v>001.08.01481</v>
          </cell>
          <cell r="B372" t="str">
            <v>Execução de Reparo de cobertura - substituição de vigas de peróba 6x16 cm</v>
          </cell>
          <cell r="C372" t="str">
            <v>ML</v>
          </cell>
          <cell r="D372">
            <v>10.3172</v>
          </cell>
        </row>
        <row r="373">
          <cell r="A373" t="str">
            <v>001.08.01501</v>
          </cell>
          <cell r="B373" t="str">
            <v>Execução de Reparo de cobertura - substituição de telha cerâmica tipo francesa</v>
          </cell>
          <cell r="C373" t="str">
            <v>UN</v>
          </cell>
          <cell r="D373">
            <v>0.96889999999999998</v>
          </cell>
        </row>
        <row r="374">
          <cell r="A374" t="str">
            <v>001.08.01521</v>
          </cell>
          <cell r="B374" t="str">
            <v>Execução de Reparo de cobertura - substituição de telha cerâmica tipo colonial</v>
          </cell>
          <cell r="C374" t="str">
            <v>UN</v>
          </cell>
          <cell r="D374">
            <v>0.89890000000000003</v>
          </cell>
        </row>
        <row r="375">
          <cell r="A375" t="str">
            <v>001.08.01541</v>
          </cell>
          <cell r="B375" t="str">
            <v>Execução de Reparo de cobertura - substituição de telha cerâmica tipo plan</v>
          </cell>
          <cell r="C375" t="str">
            <v>UN</v>
          </cell>
          <cell r="D375">
            <v>0.76890000000000003</v>
          </cell>
        </row>
        <row r="376">
          <cell r="A376" t="str">
            <v>001.09</v>
          </cell>
          <cell r="B376" t="str">
            <v>ESQUADRIAS</v>
          </cell>
          <cell r="D376">
            <v>17702.920600000001</v>
          </cell>
        </row>
        <row r="377">
          <cell r="A377" t="str">
            <v>001.09.00020</v>
          </cell>
          <cell r="B377" t="str">
            <v>Fornecimento e Instalação de Porta metálica de abrir em chapa dobrada n 18</v>
          </cell>
          <cell r="C377" t="str">
            <v>M2</v>
          </cell>
          <cell r="D377">
            <v>248.29320000000001</v>
          </cell>
        </row>
        <row r="378">
          <cell r="A378" t="str">
            <v>001.09.00040</v>
          </cell>
          <cell r="B378" t="str">
            <v>Fornecimento e Instalação de Porta metálica de abrir em metalón</v>
          </cell>
          <cell r="C378" t="str">
            <v>M2</v>
          </cell>
          <cell r="D378">
            <v>148.44319999999999</v>
          </cell>
        </row>
        <row r="379">
          <cell r="A379" t="str">
            <v>001.09.00060</v>
          </cell>
          <cell r="B379" t="str">
            <v>Fornecimento e Instalação de Porta metálica de abrir em perfil metálico (cantoneiras e tees)</v>
          </cell>
          <cell r="C379" t="str">
            <v>M2</v>
          </cell>
          <cell r="D379">
            <v>161.44319999999999</v>
          </cell>
        </row>
        <row r="380">
          <cell r="A380" t="str">
            <v>001.09.00080</v>
          </cell>
          <cell r="B380" t="str">
            <v>Fornecimento e Instalação de Porta metálica de correr em chapa dobrada n 18</v>
          </cell>
          <cell r="C380" t="str">
            <v>M2</v>
          </cell>
          <cell r="D380">
            <v>161.44319999999999</v>
          </cell>
        </row>
        <row r="381">
          <cell r="A381" t="str">
            <v>001.09.00100</v>
          </cell>
          <cell r="B381" t="str">
            <v>Fornecimento e instalação de Porta metálica de correr em metalón</v>
          </cell>
          <cell r="C381" t="str">
            <v>M2</v>
          </cell>
          <cell r="D381">
            <v>183.44319999999999</v>
          </cell>
        </row>
        <row r="382">
          <cell r="A382" t="str">
            <v>001.09.00120</v>
          </cell>
          <cell r="B382" t="str">
            <v>Fornecimento e Instalação de Porta metálica de correr em perfil metálico (cantoneiras e tees)</v>
          </cell>
          <cell r="C382" t="str">
            <v>M2</v>
          </cell>
          <cell r="D382">
            <v>168.44319999999999</v>
          </cell>
        </row>
        <row r="383">
          <cell r="A383" t="str">
            <v>001.09.00140</v>
          </cell>
          <cell r="B383" t="str">
            <v>Fornecimento e Instalaçao de Porta metálica de de abrir em metalón com janela acoplada</v>
          </cell>
          <cell r="C383" t="str">
            <v>M2</v>
          </cell>
          <cell r="D383">
            <v>100.9432</v>
          </cell>
        </row>
        <row r="384">
          <cell r="A384" t="str">
            <v>001.09.00160</v>
          </cell>
          <cell r="B384" t="str">
            <v>Fornecimento e Instalação de Porta metálica de ( 2,00 x 2,60 ) m - 2 fls de abrir c/ vidro</v>
          </cell>
          <cell r="C384" t="str">
            <v>UN</v>
          </cell>
          <cell r="D384">
            <v>768.81600000000003</v>
          </cell>
        </row>
        <row r="385">
          <cell r="A385" t="str">
            <v>001.09.00180</v>
          </cell>
          <cell r="B385" t="str">
            <v>Porta metálica de enrolar em chapa de aço ondulada</v>
          </cell>
          <cell r="C385" t="str">
            <v>M2</v>
          </cell>
          <cell r="D385">
            <v>88.012</v>
          </cell>
        </row>
        <row r="386">
          <cell r="A386" t="str">
            <v>001.09.00200</v>
          </cell>
          <cell r="B386" t="str">
            <v>Janela metálica basculante em chapa dobrada n 18</v>
          </cell>
          <cell r="C386" t="str">
            <v>M2</v>
          </cell>
          <cell r="D386">
            <v>229.2216</v>
          </cell>
        </row>
        <row r="387">
          <cell r="A387" t="str">
            <v>001.09.00220</v>
          </cell>
          <cell r="B387" t="str">
            <v>Janela metálica basculante em metalón</v>
          </cell>
          <cell r="C387" t="str">
            <v>M2</v>
          </cell>
          <cell r="D387">
            <v>166.16159999999999</v>
          </cell>
        </row>
        <row r="388">
          <cell r="A388" t="str">
            <v>001.09.00240</v>
          </cell>
          <cell r="B388" t="str">
            <v>Janela metálica basculante em perfil metálico (cantoneiras e tees)</v>
          </cell>
          <cell r="C388" t="str">
            <v>M2</v>
          </cell>
          <cell r="D388">
            <v>166.16159999999999</v>
          </cell>
        </row>
        <row r="389">
          <cell r="A389" t="str">
            <v>001.09.00260</v>
          </cell>
          <cell r="B389" t="str">
            <v>Janela metálica de correr em chapa de aço  dobrada n 18</v>
          </cell>
          <cell r="C389" t="str">
            <v>M2</v>
          </cell>
          <cell r="D389">
            <v>194.2216</v>
          </cell>
        </row>
        <row r="390">
          <cell r="A390" t="str">
            <v>001.09.00280</v>
          </cell>
          <cell r="B390" t="str">
            <v>Janela metálica de correr em metalón</v>
          </cell>
          <cell r="C390" t="str">
            <v>M2</v>
          </cell>
          <cell r="D390">
            <v>156.9881</v>
          </cell>
        </row>
        <row r="391">
          <cell r="A391" t="str">
            <v>001.09.00300</v>
          </cell>
          <cell r="B391" t="str">
            <v>Janela metálica de correr em perfis metálicos (cantoneiras e tees)</v>
          </cell>
          <cell r="C391" t="str">
            <v>M2</v>
          </cell>
          <cell r="D391">
            <v>164.2216</v>
          </cell>
        </row>
        <row r="392">
          <cell r="A392" t="str">
            <v>001.09.00320</v>
          </cell>
          <cell r="B392" t="str">
            <v>Janela metálica maximar em chapa dobrada n 18</v>
          </cell>
          <cell r="C392" t="str">
            <v>M2</v>
          </cell>
          <cell r="D392">
            <v>171.9881</v>
          </cell>
        </row>
        <row r="393">
          <cell r="A393" t="str">
            <v>001.09.00340</v>
          </cell>
          <cell r="B393" t="str">
            <v>Janela metálica maximar em metalón</v>
          </cell>
          <cell r="C393" t="str">
            <v>M2</v>
          </cell>
          <cell r="D393">
            <v>171.9881</v>
          </cell>
        </row>
        <row r="394">
          <cell r="A394" t="str">
            <v>001.09.00360</v>
          </cell>
          <cell r="B394" t="str">
            <v>Janela metálica maximar em perfis metálicos (cantoneiras e tees)</v>
          </cell>
          <cell r="C394" t="str">
            <v>M2</v>
          </cell>
          <cell r="D394">
            <v>180.9881</v>
          </cell>
        </row>
        <row r="395">
          <cell r="A395" t="str">
            <v>001.09.00380</v>
          </cell>
          <cell r="B395" t="str">
            <v>Janela metálica veneziana em metalon</v>
          </cell>
          <cell r="C395" t="str">
            <v>M2</v>
          </cell>
          <cell r="D395">
            <v>141.9881</v>
          </cell>
        </row>
        <row r="396">
          <cell r="A396" t="str">
            <v>001.09.00400</v>
          </cell>
          <cell r="B396" t="str">
            <v>Janela metálica fixa para vidro em chapa dobrada</v>
          </cell>
          <cell r="C396" t="str">
            <v>M2</v>
          </cell>
          <cell r="D396">
            <v>196.9881</v>
          </cell>
        </row>
        <row r="397">
          <cell r="A397" t="str">
            <v>001.09.00440</v>
          </cell>
          <cell r="B397" t="str">
            <v>Janela metálica tipo grade de ferro de 1/2 pol. espaçados a cada 15 cm incl. tela de arame sobreposta, j3-120x50 cm</v>
          </cell>
          <cell r="C397" t="str">
            <v>UN</v>
          </cell>
          <cell r="D397">
            <v>253.99090000000001</v>
          </cell>
        </row>
        <row r="398">
          <cell r="A398" t="str">
            <v>001.09.00460</v>
          </cell>
          <cell r="B398" t="str">
            <v>Janela metálica de chapa dobrada n.18 tipo grade fixa inclusive ferragens e tela mosquiteiro</v>
          </cell>
          <cell r="C398" t="str">
            <v>M2</v>
          </cell>
          <cell r="D398">
            <v>141.7216</v>
          </cell>
        </row>
        <row r="399">
          <cell r="A399" t="str">
            <v>001.09.00480</v>
          </cell>
          <cell r="B399" t="str">
            <v>Janela metálica de correr em metalón com tela</v>
          </cell>
          <cell r="C399" t="str">
            <v>M2</v>
          </cell>
          <cell r="D399">
            <v>158.83240000000001</v>
          </cell>
        </row>
        <row r="400">
          <cell r="A400" t="str">
            <v>001.09.00500</v>
          </cell>
          <cell r="B400" t="str">
            <v>Portão metálico tipo grade em ferro de 1/2 pol espaçados a cada 15 cm conf. modelo, p5-90x210 cm</v>
          </cell>
          <cell r="C400" t="str">
            <v>UN</v>
          </cell>
          <cell r="D400">
            <v>327.63900000000001</v>
          </cell>
        </row>
        <row r="401">
          <cell r="A401" t="str">
            <v>001.09.00510</v>
          </cell>
          <cell r="B401" t="str">
            <v>Portão de Correr em Chapa Corrugada N.18, Conf. Det. SINFRA N.06</v>
          </cell>
          <cell r="C401" t="str">
            <v>m2</v>
          </cell>
          <cell r="D401">
            <v>210.41220000000001</v>
          </cell>
        </row>
        <row r="402">
          <cell r="A402" t="str">
            <v>001.09.00520</v>
          </cell>
          <cell r="B402" t="str">
            <v>Gradil  de ferro metalón 20x20 mm</v>
          </cell>
          <cell r="C402" t="str">
            <v>M2</v>
          </cell>
          <cell r="D402">
            <v>78.488200000000006</v>
          </cell>
        </row>
        <row r="403">
          <cell r="A403" t="str">
            <v>001.09.00530</v>
          </cell>
          <cell r="B403" t="str">
            <v>Fornecimento e Instalação de Gradil em Módulos Fixos, conf. det. SINFRA/ FEMA - Entrada do Parque Mãe Bonifácia</v>
          </cell>
          <cell r="C403" t="str">
            <v>ml</v>
          </cell>
          <cell r="D403">
            <v>233.9051</v>
          </cell>
        </row>
        <row r="404">
          <cell r="A404" t="str">
            <v>001.09.00540</v>
          </cell>
          <cell r="B404" t="str">
            <v>Portão de ferro metalon  30x20mm</v>
          </cell>
          <cell r="C404" t="str">
            <v>M2</v>
          </cell>
          <cell r="D404">
            <v>54.642400000000002</v>
          </cell>
        </row>
        <row r="405">
          <cell r="A405" t="str">
            <v>001.09.00560</v>
          </cell>
          <cell r="B405" t="str">
            <v>Grades de proteção - chapa 2 x 1 cm</v>
          </cell>
          <cell r="C405" t="str">
            <v>M2</v>
          </cell>
          <cell r="D405">
            <v>69.721599999999995</v>
          </cell>
        </row>
        <row r="406">
          <cell r="A406" t="str">
            <v>001.09.00580</v>
          </cell>
          <cell r="B406" t="str">
            <v>Portão metálico em chapa dobrada com fechamento em chapa lisa, inclusive ferragens</v>
          </cell>
          <cell r="C406" t="str">
            <v>M2</v>
          </cell>
          <cell r="D406">
            <v>88.421599999999998</v>
          </cell>
        </row>
        <row r="407">
          <cell r="A407" t="str">
            <v>001.09.00600</v>
          </cell>
          <cell r="B407" t="str">
            <v>Corrimão metálico de ferro ( 3 x 2 cm ) h=0,80m</v>
          </cell>
          <cell r="C407" t="str">
            <v>ML</v>
          </cell>
          <cell r="D407">
            <v>59.221600000000002</v>
          </cell>
        </row>
        <row r="408">
          <cell r="A408" t="str">
            <v>001.09.00620</v>
          </cell>
          <cell r="B408" t="str">
            <v>Portão metálico em chapa lisa vincada c/ requadro em perfil de ferro simples, inclusive ferragens e fechadura</v>
          </cell>
          <cell r="C408" t="str">
            <v>M2</v>
          </cell>
          <cell r="D408">
            <v>103.83240000000001</v>
          </cell>
        </row>
        <row r="409">
          <cell r="A409" t="str">
            <v>001.09.00640</v>
          </cell>
          <cell r="B409" t="str">
            <v>Alçapão metálico em chapa galvanizada</v>
          </cell>
          <cell r="C409" t="str">
            <v>M2</v>
          </cell>
          <cell r="D409">
            <v>248.29320000000001</v>
          </cell>
        </row>
        <row r="410">
          <cell r="A410" t="str">
            <v>001.09.00660</v>
          </cell>
          <cell r="B410" t="str">
            <v>Fornecimento e Instalação de Batente ou guarnição metálica para vão de ( 0,80 x 2,10 ) m</v>
          </cell>
          <cell r="C410" t="str">
            <v>UN</v>
          </cell>
          <cell r="D410">
            <v>61.488100000000003</v>
          </cell>
        </row>
        <row r="411">
          <cell r="A411" t="str">
            <v>001.09.00680</v>
          </cell>
          <cell r="B411" t="str">
            <v>Fornecimento e Instalação de Batente ou guarnição metálica para vão de ( 1,20 x 2,10 ) m</v>
          </cell>
          <cell r="C411" t="str">
            <v>UN</v>
          </cell>
          <cell r="D411">
            <v>66.370199999999997</v>
          </cell>
        </row>
        <row r="412">
          <cell r="A412" t="str">
            <v>001.09.00700</v>
          </cell>
          <cell r="B412" t="str">
            <v>Fornecimento e Instalação de Batente ou guarnição metálica para vão de ( 1,50 x 2,10 ) m</v>
          </cell>
          <cell r="C412" t="str">
            <v>UN</v>
          </cell>
          <cell r="D412">
            <v>70.2624</v>
          </cell>
        </row>
        <row r="413">
          <cell r="A413" t="str">
            <v>001.09.00720</v>
          </cell>
          <cell r="B413" t="str">
            <v>Fornecimento e Instalação de Batente ou guarnição metálica para vão de ( 1,80 x 2,10 ) m</v>
          </cell>
          <cell r="C413" t="str">
            <v>UN</v>
          </cell>
          <cell r="D413">
            <v>74.154600000000002</v>
          </cell>
        </row>
        <row r="414">
          <cell r="A414" t="str">
            <v>001.09.00740</v>
          </cell>
          <cell r="B414" t="str">
            <v>Fornecimento e Instalação de Porta  de ferro em perfil metálico - 0,80x2,10m - padrão comercial</v>
          </cell>
          <cell r="C414" t="str">
            <v>UN</v>
          </cell>
          <cell r="D414">
            <v>117.1932</v>
          </cell>
        </row>
        <row r="415">
          <cell r="A415" t="str">
            <v>001.09.00760</v>
          </cell>
          <cell r="B415" t="str">
            <v>Fornecimento e Instalação de Porta  de ferro em perfis metalicos - 0,70x2,10m - padrão comercial</v>
          </cell>
          <cell r="C415" t="str">
            <v>UN</v>
          </cell>
          <cell r="D415">
            <v>117.1932</v>
          </cell>
        </row>
        <row r="416">
          <cell r="A416" t="str">
            <v>001.09.00770</v>
          </cell>
          <cell r="B416" t="str">
            <v>Fornecimento e Instalação de Porta  de ferro em perfil metálico - 0,60x2,10m - padrão comercial</v>
          </cell>
          <cell r="C416" t="str">
            <v>un</v>
          </cell>
          <cell r="D416">
            <v>132.35319999999999</v>
          </cell>
        </row>
        <row r="417">
          <cell r="A417" t="str">
            <v>001.09.00780</v>
          </cell>
          <cell r="B417" t="str">
            <v>Fornecimento e Instalação de Porta de Ferro de Correr Em Perfil Metálico Tipo Mosaico Quadriculado, 4 Folhas, Dim. 2.00 x 2.13 Req. 13 Chapa 22 - Padrão Comercial</v>
          </cell>
          <cell r="C417" t="str">
            <v>m2</v>
          </cell>
          <cell r="D417">
            <v>241.3716</v>
          </cell>
        </row>
        <row r="418">
          <cell r="A418" t="str">
            <v>001.09.00790</v>
          </cell>
          <cell r="B418" t="str">
            <v>Fornecimento e Instalação de Porta de ferro tipo veneziana - 0,80x2,10m - padrão comercial</v>
          </cell>
          <cell r="C418" t="str">
            <v>un</v>
          </cell>
          <cell r="D418">
            <v>132.35319999999999</v>
          </cell>
        </row>
        <row r="419">
          <cell r="A419" t="str">
            <v>001.09.00800</v>
          </cell>
          <cell r="B419" t="str">
            <v>Fornecimento e Instalação de Porta de ferro tipo veneziana - 0,70x2,10m - padrão comercial</v>
          </cell>
          <cell r="C419" t="str">
            <v>UN</v>
          </cell>
          <cell r="D419">
            <v>132.35319999999999</v>
          </cell>
        </row>
        <row r="420">
          <cell r="A420" t="str">
            <v>001.09.00805</v>
          </cell>
          <cell r="B420" t="str">
            <v>Fornecimento e Instalação de Porta de ferro tipo veneziana - 0,60x2,10m - padrão comercial</v>
          </cell>
          <cell r="C420" t="str">
            <v>un</v>
          </cell>
          <cell r="D420">
            <v>132.35319999999999</v>
          </cell>
        </row>
        <row r="421">
          <cell r="A421" t="str">
            <v>001.09.00820</v>
          </cell>
          <cell r="B421" t="str">
            <v>Fornecimento e Instalação de Janela de ferro em perfis metálicos - basculante com grade - padrão comercial</v>
          </cell>
          <cell r="C421" t="str">
            <v>M2</v>
          </cell>
          <cell r="D421">
            <v>229.2216</v>
          </cell>
        </row>
        <row r="422">
          <cell r="A422" t="str">
            <v>001.09.00825</v>
          </cell>
          <cell r="B422" t="str">
            <v>Fornecimento e Instalação de Janela Tipo Vitro Basculante com Grade Xadrez 0.40 x 0.40 cm, batente e = 12 cm chapa 22 - Padrão Comercial</v>
          </cell>
          <cell r="C422" t="str">
            <v>m2</v>
          </cell>
          <cell r="D422">
            <v>166.3862</v>
          </cell>
        </row>
        <row r="423">
          <cell r="A423" t="str">
            <v>001.09.00826</v>
          </cell>
          <cell r="B423" t="str">
            <v>Fornecimento e Instalação de Janela Tipo Vitro Basculante com Grade Xadrez 0.40 x 0.60 cm Batente e = 12 cm Chapa 22 - Padrão Comercial</v>
          </cell>
          <cell r="C423" t="str">
            <v>m2</v>
          </cell>
          <cell r="D423">
            <v>166.3862</v>
          </cell>
        </row>
        <row r="424">
          <cell r="A424" t="str">
            <v>001.09.00830</v>
          </cell>
          <cell r="B424" t="str">
            <v>Fornecimento e Instalação de Janela Tipo Vitro Maxim-ar 1.00 x 0.60 m c/ Grade Xadrez, Batente E = 12 cm, Chapa 22  - Padrão Comercial</v>
          </cell>
          <cell r="C424" t="str">
            <v>m2</v>
          </cell>
          <cell r="D424">
            <v>214.61619999999999</v>
          </cell>
        </row>
        <row r="425">
          <cell r="A425" t="str">
            <v>001.09.00840</v>
          </cell>
          <cell r="B425" t="str">
            <v>Fornecimento e Instalação de Janela de ferro em perfis metálicos - de correr com grade  - padrão comercial</v>
          </cell>
          <cell r="C425" t="str">
            <v>m2</v>
          </cell>
          <cell r="D425">
            <v>156.9881</v>
          </cell>
        </row>
        <row r="426">
          <cell r="A426" t="str">
            <v>001.09.00845</v>
          </cell>
          <cell r="B426" t="str">
            <v>Fornecimento e Instalação de Janela Tipo Vitro de Correr com Caixilho Fixo 1.20 x 1.00 m c/ Grade, Batente E = 12 cm, Chapa 22 4 Folhas - Padrão Comercial</v>
          </cell>
          <cell r="C426" t="str">
            <v>m2</v>
          </cell>
          <cell r="D426">
            <v>128.71619999999999</v>
          </cell>
        </row>
        <row r="427">
          <cell r="A427" t="str">
            <v>001.09.00846</v>
          </cell>
          <cell r="B427" t="str">
            <v>Fornecimento e Instalação de Janela Tipo Vitro de Correr com Caixilho Fixo 1.50 x 1.00 m c/ Grade, Batente E = 12 cm, Chapa 22 4 Folhas - Padrão Comercial</v>
          </cell>
          <cell r="C427" t="str">
            <v>m2</v>
          </cell>
          <cell r="D427">
            <v>118.58620000000001</v>
          </cell>
        </row>
        <row r="428">
          <cell r="A428" t="str">
            <v>001.09.00848</v>
          </cell>
          <cell r="B428" t="str">
            <v>Fornecimento e Instalação de Janela Tipo Vitro de Correr com Caixilho Fixo 2.00 x 1.00 m s/ Grade, Batente e= 12 cm Chapa 22, 4 Folhas - Padrão Comercial</v>
          </cell>
          <cell r="C428" t="str">
            <v>m2</v>
          </cell>
          <cell r="D428">
            <v>113.1362</v>
          </cell>
        </row>
        <row r="429">
          <cell r="A429" t="str">
            <v>001.09.00850</v>
          </cell>
          <cell r="B429" t="str">
            <v>Fornecimento e Instalação de Janela Tipo Vitro de Correr com Caixilho Fixo 1.50 x 1.20 m c/ Grade, Batente E = 12 cm, Chapa 22 4 Folhas - Padrão Comercial</v>
          </cell>
          <cell r="C429" t="str">
            <v>m2</v>
          </cell>
          <cell r="D429">
            <v>110.7362</v>
          </cell>
        </row>
        <row r="430">
          <cell r="A430" t="str">
            <v>001.09.00860</v>
          </cell>
          <cell r="B430" t="str">
            <v>Fornecimento e Instalação de Janela metálica tipo veneziana de correr com grade - padrão comercial</v>
          </cell>
          <cell r="C430" t="str">
            <v>m2</v>
          </cell>
          <cell r="D430">
            <v>156.9881</v>
          </cell>
        </row>
        <row r="431">
          <cell r="A431" t="str">
            <v>001.09.00900</v>
          </cell>
          <cell r="B431" t="str">
            <v>Fornecimento e Instalação de Porta Padrão Popular (sem defeitos), Tipo Solidor, Dimensão 60 x 210 cm, incl. Portal de Cedrinho Fixado Com Espuma de Poliuretano, Alisar de Cedrinho, Dobradiça de Ferro Zincado 31/2"" x 21/2"",</v>
          </cell>
          <cell r="C431" t="str">
            <v>CJ</v>
          </cell>
          <cell r="D431">
            <v>112.01260000000001</v>
          </cell>
        </row>
        <row r="432">
          <cell r="A432" t="str">
            <v>001.09.00920</v>
          </cell>
          <cell r="B432" t="str">
            <v>Fornecimento e Instalação de Porta Padrão Popular (sem defeitos), Tipo Solidor, Dimensão 70 x 210 cm, incl. Portal de Cedrinho Fixado Com Espuma de Poliuretano, Alisar de Cedrinho, Dobradiça de Ferro Zincado 31/2"" x 21/2"",</v>
          </cell>
          <cell r="C432" t="str">
            <v>CJ</v>
          </cell>
          <cell r="D432">
            <v>112.01260000000001</v>
          </cell>
        </row>
        <row r="433">
          <cell r="A433" t="str">
            <v>001.09.00940</v>
          </cell>
          <cell r="B433" t="str">
            <v>Fornecimento e Instalação de Porta Padrão Popular (sem defeitos), Tipo Solidor, Dimensão 80 x 210 cm, incl. Portal de Cedrinho Fixado Com Espuma de Poliuretano, Alisar de Cedrinho, Dobradiça de Ferro Zincado 31/2"" x 21/2"",</v>
          </cell>
          <cell r="C433" t="str">
            <v>CJ</v>
          </cell>
          <cell r="D433">
            <v>112.01260000000001</v>
          </cell>
        </row>
        <row r="434">
          <cell r="A434" t="str">
            <v>001.09.00960</v>
          </cell>
          <cell r="B434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4" t="str">
            <v>CJ</v>
          </cell>
          <cell r="D434">
            <v>205.89259999999999</v>
          </cell>
        </row>
        <row r="435">
          <cell r="A435" t="str">
            <v>001.09.00980</v>
          </cell>
          <cell r="B435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5" t="str">
            <v>CJ</v>
          </cell>
          <cell r="D435">
            <v>205.89259999999999</v>
          </cell>
        </row>
        <row r="436">
          <cell r="A436" t="str">
            <v>001.09.01000</v>
          </cell>
          <cell r="B436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6" t="str">
            <v>CJ</v>
          </cell>
          <cell r="D436">
            <v>205.89259999999999</v>
          </cell>
        </row>
        <row r="437">
          <cell r="A437" t="str">
            <v>001.09.01010</v>
          </cell>
          <cell r="B437" t="str">
            <v>Fornecimento e Instalação de Porta Tipo Solidor, Angelim, Prensada, Semi Oca, Laminada Para Pintura, Dim. 90 x 210 cm, incl. Portal de Angelim e=3.50cm, Fixado C/ Espuma de Poliuretano, Alisar de Angelim l=6.00cm, Dobradiça de Ferro Niquel. 31/2"" x 21/</v>
          </cell>
          <cell r="C437" t="str">
            <v>CJ</v>
          </cell>
          <cell r="D437">
            <v>205.89259999999999</v>
          </cell>
        </row>
        <row r="438">
          <cell r="A438" t="str">
            <v>001.09.01020</v>
          </cell>
          <cell r="B438" t="str">
            <v>Fornecimento e Instalação de Porta Tipo Solidor, Angelim, Prensada, Encabeçada,Semi Oca, Laminada Para Envernizamento, Dim. 60 x 210 cm, incl. Portal de Angelim e=3.50cm, Fixado C/ Espuma de Poliuretano, Alisar de Angelim l=6.00cm, Dobradiça 31/2""x21/2</v>
          </cell>
          <cell r="C438" t="str">
            <v>CJ</v>
          </cell>
          <cell r="D438">
            <v>230.9126</v>
          </cell>
        </row>
        <row r="439">
          <cell r="A439" t="str">
            <v>001.09.01040</v>
          </cell>
          <cell r="B439" t="str">
            <v>Fornecimento e Instalação de Porta Tipo Solidor, Angelim, Prensada, Encabeçada,Semi Oca, Laminada Para Envernizamento, Dim. 70 x 210 cm, incl. Portal de Angelim e=3.50cm, Fixado C/ Espuma de Poliuretano, Alisar de Angelim l=6.00cm, Dobradiça 31/2""x21/2</v>
          </cell>
          <cell r="C439" t="str">
            <v>CJ</v>
          </cell>
          <cell r="D439">
            <v>230.9126</v>
          </cell>
        </row>
        <row r="440">
          <cell r="A440" t="str">
            <v>001.09.01060</v>
          </cell>
          <cell r="B440" t="str">
            <v>Fornecimento e Instalação de Porta Tipo Solidor, Angelim, Prensada, Encabeçada,Semi Oca, Laminada Para Envernizamento, Dim. 80 x 210 cm, incl. Portal de Angelim e=3.50cm, Fixado C/ Espuma de Poliuretano, Alisar de Angelim l=6.00cm, Dobradiça 31/2""x21/2</v>
          </cell>
          <cell r="C440" t="str">
            <v>CJ</v>
          </cell>
          <cell r="D440">
            <v>230.9126</v>
          </cell>
        </row>
        <row r="441">
          <cell r="A441" t="str">
            <v>001.09.01070</v>
          </cell>
          <cell r="B441" t="str">
            <v>Fornecimento e Instalação de Porta Tipo Solidor, Angelim, Prensada, Encabeçada,Semi Oca, Laminada Para Envernizamento, Dim. 90 x 210 cm, incl. Portal de Angelim e=3.50cm, Fixado C/ Espuma de Poliuretano, Alisar de Angelim l=6.00cm, Dobradiça 31/2""x21/2</v>
          </cell>
          <cell r="C441" t="str">
            <v>CJ</v>
          </cell>
          <cell r="D441">
            <v>230.9126</v>
          </cell>
        </row>
        <row r="442">
          <cell r="A442" t="str">
            <v>001.09.01080</v>
          </cell>
          <cell r="B442" t="str">
            <v>Fornecimento e Instalação de Porta Tipo Solidor,Itaúba, Prensada, Encabeçada,Semi Oca, Laminada Para Envernizamento, Dim. 60 x 210 cm, incl. Portal de Itaúba e=3.50cm, Fixado C/ Espuma de Poliuretano, Alisar de Itaúba l=6.00cm, Dobradiça de 31/2""x21/2</v>
          </cell>
          <cell r="C442" t="str">
            <v>CJ</v>
          </cell>
          <cell r="D442">
            <v>237.99260000000001</v>
          </cell>
        </row>
        <row r="443">
          <cell r="A443" t="str">
            <v>001.09.01100</v>
          </cell>
          <cell r="B443" t="str">
            <v>Fornecimento e Instalação de Porta Tipo Solidor,Itaúba, Prensada, Encabeçada,Semi Oca, Laminada Para Envernizamento, Dim. 70 x 210 cm, incl. Portal de Itaúba e=3.50cm, Fixado C/ Espuma de Poliuretano, Alisar de Itaúba l=6.00cm, Dobradiça de 31/2""x21/2"</v>
          </cell>
          <cell r="C443" t="str">
            <v>CJ</v>
          </cell>
          <cell r="D443">
            <v>237.99260000000001</v>
          </cell>
        </row>
        <row r="444">
          <cell r="A444" t="str">
            <v>001.09.01120</v>
          </cell>
          <cell r="B444" t="str">
            <v>Fornecimento e Instalação de Porta Tipo Solidor,Itaúba, Prensada, Encabeçada,Semi Oca, Laminada Para Envernizamento, Dim. 80 x 210 cm, incl. Portal de Itaúba e=3.50cm, Fixado C/ Espuma de Poliuretano, Alisar de Itaúba l=6.00cm, Dobradiça de 31/2""x21/2"</v>
          </cell>
          <cell r="C444" t="str">
            <v>CJ</v>
          </cell>
          <cell r="D444">
            <v>226.30260000000001</v>
          </cell>
        </row>
        <row r="445">
          <cell r="A445" t="str">
            <v>001.09.01130</v>
          </cell>
          <cell r="B445" t="str">
            <v>Fornecimento e Instalação de Porta Tipo Solidor,Itaúba, Prensada, Encabeçada,Semi Oca, Laminada Para Envernizamento, Dim. 90 x 210 cm, incl. Portal de Itaúba e=3.50cm, Fixado C/ Espuma de Poliuretano, Alisar de Itaúba l=6.00cm, Dobradiça de 31/2""x21/2"</v>
          </cell>
          <cell r="C445" t="str">
            <v>CJ</v>
          </cell>
          <cell r="D445">
            <v>226.30260000000001</v>
          </cell>
        </row>
        <row r="446">
          <cell r="A446" t="str">
            <v>001.09.01290</v>
          </cell>
          <cell r="B446" t="str">
            <v>Fornecimento e Instalação de Porta Tipo Solidor, Angelim, Prensada, Semi Oca, Laminada e Formicada TX PP30 0.8 mm, Dim. 60 x 210 cm, incl. Portal de Angelim e=3.50cm, Fix. Espuma de Poliur., Alisar de Angelim l=6.00cm, Dobr. de Ferro Niquel. 31/2"" x 21</v>
          </cell>
          <cell r="C446" t="str">
            <v>un</v>
          </cell>
          <cell r="D446">
            <v>308.86610000000002</v>
          </cell>
        </row>
        <row r="447">
          <cell r="A447" t="str">
            <v>001.09.01291</v>
          </cell>
          <cell r="B447" t="str">
            <v>Fornecimento e Instalação de Porta Tipo Solidor, Angelim, Prensada, Semi Oca, Laminada e Formicada TX PP30 0.8 mm, Dim. 70 x 210 cm, incl. Portal de Angelim e=3.50cm, Fix. Espuma de Poliur., Alisar de Angelim l=6.00cm, Dobr. de Ferro Niquel. 31/2"" x 21</v>
          </cell>
          <cell r="C447" t="str">
            <v>un</v>
          </cell>
          <cell r="D447">
            <v>332.24610000000001</v>
          </cell>
        </row>
        <row r="448">
          <cell r="A448" t="str">
            <v>001.09.01292</v>
          </cell>
          <cell r="B448" t="str">
            <v>Fornecimento e Instalação de Porta Tipo Solidor, Angelim, Prensada, Semi Oca, Laminada e Formicada TX PP30 0.8 mm, Dim. 80 x 210 cm, incl. Portal de Angelim e=3.50cm, Fix. Espuma de Poliur., Alisar de Angelim l=6.00cm, Dobr. de Ferro Niquel. 31/2"" x 21</v>
          </cell>
          <cell r="C448" t="str">
            <v>un</v>
          </cell>
          <cell r="D448">
            <v>332.24610000000001</v>
          </cell>
        </row>
        <row r="449">
          <cell r="A449" t="str">
            <v>001.09.01293</v>
          </cell>
          <cell r="B449" t="str">
            <v>Fornecimento e Instalação de Porta Tipo Solidor, Angelim, Prensada, Semi Oca, Laminada e Formicada TX PP30 0.8 mm, Dim. 90 x 210 cm, incl. Portal de Angelim e=3.50cm, Fix. Espuma de Poliur., Alisar de Angelim l=6.00cm, Dobr. de Ferro Niquel. 31/2"" x 21</v>
          </cell>
          <cell r="C449" t="str">
            <v>un</v>
          </cell>
          <cell r="D449">
            <v>332.24610000000001</v>
          </cell>
        </row>
        <row r="450">
          <cell r="A450" t="str">
            <v>001.09.01420</v>
          </cell>
          <cell r="B450" t="str">
            <v>Fechadura c/ chave central, maçaneta tipo copo, conjunto completo p/portas de entrada</v>
          </cell>
          <cell r="C450" t="str">
            <v>UN</v>
          </cell>
          <cell r="D450">
            <v>23.020199999999999</v>
          </cell>
        </row>
        <row r="451">
          <cell r="A451" t="str">
            <v>001.09.01440</v>
          </cell>
          <cell r="B451" t="str">
            <v>Fechadura c/ chave central, maçaneta tipo copo, conjunto completo p/portas de comunicacao</v>
          </cell>
          <cell r="C451" t="str">
            <v>UN</v>
          </cell>
          <cell r="D451">
            <v>18.860199999999999</v>
          </cell>
        </row>
        <row r="452">
          <cell r="A452" t="str">
            <v>001.09.01460</v>
          </cell>
          <cell r="B452" t="str">
            <v>Fechadura c/ chave central, maçaneta tipo copo, conjunto completo p/portas de banheiro</v>
          </cell>
          <cell r="C452" t="str">
            <v>UN</v>
          </cell>
          <cell r="D452">
            <v>18.860199999999999</v>
          </cell>
        </row>
        <row r="453">
          <cell r="A453" t="str">
            <v>001.09.02300</v>
          </cell>
          <cell r="B453" t="str">
            <v>Tela metálica tipo mosquiteiro fixado em ferro cantoneira de abas iguais de 1/2""""x1/8""""</v>
          </cell>
          <cell r="C453" t="str">
            <v>M2</v>
          </cell>
          <cell r="D453">
            <v>33.885399999999997</v>
          </cell>
        </row>
        <row r="454">
          <cell r="A454" t="str">
            <v>001.09.02320</v>
          </cell>
          <cell r="B454" t="str">
            <v>Tela metálica tipo mosquiteiro fixado em ferro cantoneira de abas iguais de 1""""x3/16""""</v>
          </cell>
          <cell r="C454" t="str">
            <v>M2</v>
          </cell>
          <cell r="D454">
            <v>59.985399999999998</v>
          </cell>
        </row>
        <row r="455">
          <cell r="A455" t="str">
            <v>001.09.02325</v>
          </cell>
          <cell r="B455" t="str">
            <v>Fornecimento e Instalação de Chapa de Ferro Preta Lisa e= 3 mm Conf. Det. 26 A SEJUSP</v>
          </cell>
          <cell r="C455" t="str">
            <v>m2</v>
          </cell>
          <cell r="D455">
            <v>128.08510000000001</v>
          </cell>
        </row>
        <row r="456">
          <cell r="A456" t="str">
            <v>001.09.02327</v>
          </cell>
          <cell r="B456" t="str">
            <v>Fornecimento e Instalação de Chapa de Ferro Preta Lisa e= 8 mm Conf. Det. 26 C SEJUSP</v>
          </cell>
          <cell r="C456" t="str">
            <v>m2</v>
          </cell>
          <cell r="D456">
            <v>339.98250000000002</v>
          </cell>
        </row>
        <row r="457">
          <cell r="A457" t="str">
            <v>001.09.02330</v>
          </cell>
          <cell r="B457" t="str">
            <v>Fornecimento e Instalação de Porta Para Cadeia ou Presídio 0.80 x 2.10 em grade 7/8"" e barra chata 1 1/2"" x 5/16"" Conf. Det. 05 SINFRA</v>
          </cell>
          <cell r="C457" t="str">
            <v>m2</v>
          </cell>
          <cell r="D457">
            <v>227.84440000000001</v>
          </cell>
        </row>
        <row r="458">
          <cell r="A458" t="str">
            <v>001.09.02335</v>
          </cell>
          <cell r="B458" t="str">
            <v>Fornecimento e Instalação de Porta Metálica C/ Passa Prato Conf. Det. 05 SEJUSP</v>
          </cell>
          <cell r="C458" t="str">
            <v>m2</v>
          </cell>
          <cell r="D458">
            <v>356.19459999999998</v>
          </cell>
        </row>
        <row r="459">
          <cell r="A459" t="str">
            <v>001.09.02336</v>
          </cell>
          <cell r="B459" t="str">
            <v>Fornecimento e Instalação de Porta Metálica S/ Passa Prato Conf. Det. 05 A SEJUSP</v>
          </cell>
          <cell r="C459" t="str">
            <v>m2</v>
          </cell>
          <cell r="D459">
            <v>278.31799999999998</v>
          </cell>
        </row>
        <row r="460">
          <cell r="A460" t="str">
            <v>001.09.02337</v>
          </cell>
          <cell r="B460" t="str">
            <v>Fornecimento e Instalação de Porta Metálica C/ Chapa Metálica Sobre Toda a Porta Conf. Det. 05 B  SEJUSP</v>
          </cell>
          <cell r="C460" t="str">
            <v>m2</v>
          </cell>
          <cell r="D460">
            <v>426.10849999999999</v>
          </cell>
        </row>
        <row r="461">
          <cell r="A461" t="str">
            <v>001.09.02338</v>
          </cell>
          <cell r="B461" t="str">
            <v>Fornecimento e Instalação de Conjunto de Grade Conf. Det. 08 SEJUSP</v>
          </cell>
          <cell r="C461" t="str">
            <v>m2</v>
          </cell>
          <cell r="D461">
            <v>130.26499999999999</v>
          </cell>
        </row>
        <row r="462">
          <cell r="A462" t="str">
            <v>001.09.02340</v>
          </cell>
          <cell r="B462" t="str">
            <v>Fornecimento e Instalação de Grade Metálica Conf. Det. 09 A SEJUSP</v>
          </cell>
          <cell r="C462" t="str">
            <v>m2</v>
          </cell>
          <cell r="D462">
            <v>191.0461</v>
          </cell>
        </row>
        <row r="463">
          <cell r="A463" t="str">
            <v>001.09.02345</v>
          </cell>
          <cell r="B463" t="str">
            <v>Fornecimento e Instalação de Porta Metálica C/ Chapa Metálica Sobre Toda a Porta Conf. Det. 23  SEJUSP</v>
          </cell>
          <cell r="C463" t="str">
            <v>m2</v>
          </cell>
          <cell r="D463">
            <v>380.67520000000002</v>
          </cell>
        </row>
        <row r="464">
          <cell r="A464" t="str">
            <v>001.09.02346</v>
          </cell>
          <cell r="B464" t="str">
            <v>Fornecimento e Instalação de Porta Metálica S/ Chapa Metálica Conf. Det. 23 A  SEJUSP</v>
          </cell>
          <cell r="C464" t="str">
            <v>m2</v>
          </cell>
          <cell r="D464">
            <v>297.05579999999998</v>
          </cell>
        </row>
        <row r="465">
          <cell r="A465" t="str">
            <v>001.09.02350</v>
          </cell>
          <cell r="B465" t="str">
            <v>Fornecimento e Instalação de Visor Conf. Det. 30 SEJUSP</v>
          </cell>
          <cell r="C465" t="str">
            <v>un</v>
          </cell>
          <cell r="D465">
            <v>210.67439999999999</v>
          </cell>
        </row>
        <row r="466">
          <cell r="A466" t="str">
            <v>001.09.02360</v>
          </cell>
          <cell r="B466" t="str">
            <v>Fornecimento e Instalação de Tranca Tipo Comum Conf. Det. 41 SEJUSP</v>
          </cell>
          <cell r="C466" t="str">
            <v>un</v>
          </cell>
          <cell r="D466">
            <v>122.6871</v>
          </cell>
        </row>
        <row r="467">
          <cell r="A467" t="str">
            <v>001.09.02365</v>
          </cell>
          <cell r="B467" t="str">
            <v>Fornecimento e Instalação de Grade Metálica Conf. Det. 45 B SEJUSP</v>
          </cell>
          <cell r="C467" t="str">
            <v>m2</v>
          </cell>
          <cell r="D467">
            <v>246.3074</v>
          </cell>
        </row>
        <row r="468">
          <cell r="A468" t="str">
            <v>001.09.02370</v>
          </cell>
          <cell r="B468" t="str">
            <v>Batente de madeira 15 x 15 cm para porta e janela</v>
          </cell>
          <cell r="C468" t="str">
            <v>m</v>
          </cell>
          <cell r="D468">
            <v>20.7333</v>
          </cell>
        </row>
        <row r="469">
          <cell r="A469" t="str">
            <v>001.09.02380</v>
          </cell>
          <cell r="B469" t="str">
            <v>Batente de madeira 3,5 x 14,5 cm para portas e janelas</v>
          </cell>
          <cell r="C469" t="str">
            <v>M</v>
          </cell>
          <cell r="D469">
            <v>8.0296000000000003</v>
          </cell>
        </row>
        <row r="470">
          <cell r="A470" t="str">
            <v>001.09.02400</v>
          </cell>
          <cell r="B470" t="str">
            <v>Reparo em esquadria - substituição de folhas de porta/janelas de madeira tipo almofadada</v>
          </cell>
          <cell r="C470" t="str">
            <v>M2</v>
          </cell>
          <cell r="D470">
            <v>42.630299999999998</v>
          </cell>
        </row>
        <row r="471">
          <cell r="A471" t="str">
            <v>001.09.02420</v>
          </cell>
          <cell r="B471" t="str">
            <v>Reparo em esquadria - substituição de batente de madeira</v>
          </cell>
          <cell r="C471" t="str">
            <v>M</v>
          </cell>
          <cell r="D471">
            <v>17.7865</v>
          </cell>
        </row>
        <row r="472">
          <cell r="A472" t="str">
            <v>001.09.02440</v>
          </cell>
          <cell r="B472" t="str">
            <v>Reparo em esquadria - substituição de folha de porta de madeira tipo solidor, inclusive dobradiças, -(0,60x1,80)m</v>
          </cell>
          <cell r="C472" t="str">
            <v>UN</v>
          </cell>
          <cell r="D472">
            <v>50.916499999999999</v>
          </cell>
        </row>
        <row r="473">
          <cell r="A473" t="str">
            <v>001.09.02460</v>
          </cell>
          <cell r="B473" t="str">
            <v>Reparo em esquadria - substituição de folha de porta de madeira tipo solidor, inclusive dobradiças, -(0,60x2,10)m</v>
          </cell>
          <cell r="C473" t="str">
            <v>UN</v>
          </cell>
          <cell r="D473">
            <v>54.606499999999997</v>
          </cell>
        </row>
        <row r="474">
          <cell r="A474" t="str">
            <v>001.09.02480</v>
          </cell>
          <cell r="B474" t="str">
            <v>Reparo em esquadria - substituição de folha de porta de madeira tipo solidor, inclusive dobradiças, -(0,70x2,10)m</v>
          </cell>
          <cell r="C474" t="str">
            <v>UN</v>
          </cell>
          <cell r="D474">
            <v>54.606499999999997</v>
          </cell>
        </row>
        <row r="475">
          <cell r="A475" t="str">
            <v>001.09.02500</v>
          </cell>
          <cell r="B475" t="str">
            <v>Reparo em esquadria - substituição de folha de porta de madeira tipo solidor, inclusive dobradiças, -(0,80x2,10)m</v>
          </cell>
          <cell r="C475" t="str">
            <v>UN</v>
          </cell>
          <cell r="D475">
            <v>54.606499999999997</v>
          </cell>
        </row>
        <row r="476">
          <cell r="A476" t="str">
            <v>001.09.02520</v>
          </cell>
          <cell r="B476" t="str">
            <v>Reparo em esquadria - substituição de folha de porta de madeira tipo solidor, inclusive dobradiças, -(0,90x2,10)m</v>
          </cell>
          <cell r="C476" t="str">
            <v>UN</v>
          </cell>
          <cell r="D476">
            <v>92.606499999999997</v>
          </cell>
        </row>
        <row r="477">
          <cell r="A477" t="str">
            <v>001.09.02540</v>
          </cell>
          <cell r="B477" t="str">
            <v>Reparo em esquadria - substituição de folha de madeira almofadada, inclusive dobradiças-(0,60x2,10)m</v>
          </cell>
          <cell r="C477" t="str">
            <v>UN</v>
          </cell>
          <cell r="D477">
            <v>73.606499999999997</v>
          </cell>
        </row>
        <row r="478">
          <cell r="A478" t="str">
            <v>001.09.02560</v>
          </cell>
          <cell r="B478" t="str">
            <v>Reparo em esquadria - substituição de folha de madeira almofadada, inclusive dobradiças-(0,70x2,10)m</v>
          </cell>
          <cell r="C478" t="str">
            <v>UN</v>
          </cell>
          <cell r="D478">
            <v>73.606499999999997</v>
          </cell>
        </row>
        <row r="479">
          <cell r="A479" t="str">
            <v>001.09.02580</v>
          </cell>
          <cell r="B479" t="str">
            <v>Reparo em esquadria - substituição de folha de madeira almofadada, inclusive dobradiças-(0,80x2,10)m</v>
          </cell>
          <cell r="C479" t="str">
            <v>UN</v>
          </cell>
          <cell r="D479">
            <v>73.606499999999997</v>
          </cell>
        </row>
        <row r="480">
          <cell r="A480" t="str">
            <v>001.09.02600</v>
          </cell>
          <cell r="B480" t="str">
            <v>Reparo em esquadria - substituição de folha de madeira almofadada, inclusive dobradiças-(0,90x2,10)m</v>
          </cell>
          <cell r="C480" t="str">
            <v>UN</v>
          </cell>
          <cell r="D480">
            <v>87.606499999999997</v>
          </cell>
        </row>
        <row r="481">
          <cell r="A481" t="str">
            <v>001.09.02620</v>
          </cell>
          <cell r="B481" t="str">
            <v>Reparo em esquadria - substituição de batente de peroba, inclusive guarnições -vão de (0,60x2,10)m</v>
          </cell>
          <cell r="C481" t="str">
            <v>JG</v>
          </cell>
          <cell r="D481">
            <v>98.226600000000005</v>
          </cell>
        </row>
        <row r="482">
          <cell r="A482" t="str">
            <v>001.09.02640</v>
          </cell>
          <cell r="B482" t="str">
            <v>Reparo em esquadria - substituição de batente de peroba, inclusive guarnições -vão de (0,70x2,10)m</v>
          </cell>
          <cell r="C482" t="str">
            <v>JG</v>
          </cell>
          <cell r="D482">
            <v>96.892099999999999</v>
          </cell>
        </row>
        <row r="483">
          <cell r="A483" t="str">
            <v>001.09.02660</v>
          </cell>
          <cell r="B483" t="str">
            <v>Reparo em esquadria - substituição de batente de peroba, inclusive guarnições -vão de (0,80x2,10)m</v>
          </cell>
          <cell r="C483" t="str">
            <v>JG</v>
          </cell>
          <cell r="D483">
            <v>108.9226</v>
          </cell>
        </row>
        <row r="484">
          <cell r="A484" t="str">
            <v>001.09.02800</v>
          </cell>
          <cell r="B484" t="str">
            <v>Reparo em Grades e Portões - substituição de ferro CA 25 1/2""</v>
          </cell>
          <cell r="C484" t="str">
            <v>ml</v>
          </cell>
          <cell r="D484">
            <v>4.0110999999999999</v>
          </cell>
        </row>
        <row r="485">
          <cell r="A485" t="str">
            <v>001.09.02820</v>
          </cell>
          <cell r="B485" t="str">
            <v>Reparo em Grades e Portões - substituição de ferro CA 25 7/8""</v>
          </cell>
          <cell r="C485" t="str">
            <v>ml</v>
          </cell>
          <cell r="D485">
            <v>13.7584</v>
          </cell>
        </row>
        <row r="486">
          <cell r="A486" t="str">
            <v>001.09.02840</v>
          </cell>
          <cell r="B486" t="str">
            <v>Reparo em Alambrados e Portões - substituição de tubo de ferro em chapa preta diam.2"" chapa 13</v>
          </cell>
          <cell r="C486" t="str">
            <v>ml</v>
          </cell>
          <cell r="D486">
            <v>16.174800000000001</v>
          </cell>
        </row>
        <row r="487">
          <cell r="A487" t="str">
            <v>001.09.02860</v>
          </cell>
          <cell r="B487" t="str">
            <v>Reparo em Alambrados e Portões - substituição de tela de alambrado galvanizado malha 2"" fio dw12</v>
          </cell>
          <cell r="C487" t="str">
            <v>m2</v>
          </cell>
          <cell r="D487">
            <v>14.151400000000001</v>
          </cell>
        </row>
        <row r="488">
          <cell r="A488" t="str">
            <v>001.10</v>
          </cell>
          <cell r="B488" t="str">
            <v>REVESTIMENTO</v>
          </cell>
          <cell r="D488">
            <v>329.01499999999999</v>
          </cell>
        </row>
        <row r="489">
          <cell r="A489" t="str">
            <v>001.10.00020</v>
          </cell>
          <cell r="B489" t="str">
            <v>Chapisco de aderência c/argamassa de cimento e areia traço 1:3 e= 5 mm</v>
          </cell>
          <cell r="C489" t="str">
            <v>m2</v>
          </cell>
          <cell r="D489">
            <v>1.9576</v>
          </cell>
        </row>
        <row r="490">
          <cell r="A490" t="str">
            <v>001.10.00040</v>
          </cell>
          <cell r="B490" t="str">
            <v>Chapisco de acab.c/argam.de cimento e pedrisco traço 1:4  e= 7 mm</v>
          </cell>
          <cell r="C490" t="str">
            <v>m2</v>
          </cell>
          <cell r="D490">
            <v>2.9297</v>
          </cell>
        </row>
        <row r="491">
          <cell r="A491" t="str">
            <v>001.10.00100</v>
          </cell>
          <cell r="B491" t="str">
            <v>Reboco paulista usando argamassa mista de cimento cal e areia no traço 1:2:8 com 20 mm de espessura</v>
          </cell>
          <cell r="C491" t="str">
            <v>m2</v>
          </cell>
          <cell r="D491">
            <v>7.8211000000000004</v>
          </cell>
        </row>
        <row r="492">
          <cell r="A492" t="str">
            <v>001.10.00110</v>
          </cell>
          <cell r="B492" t="str">
            <v>Reboco paulista usando argamassa mista de cimento cal e areia no traço 1:2:9 com 20 mm de espessura</v>
          </cell>
          <cell r="C492" t="str">
            <v>m2</v>
          </cell>
          <cell r="D492">
            <v>7.6371000000000002</v>
          </cell>
        </row>
        <row r="493">
          <cell r="A493" t="str">
            <v>001.10.00120</v>
          </cell>
          <cell r="B493" t="str">
            <v>Reboco c/ argamassa de cal em pasta e areia fina peneirada no traço 1:2 (espessura 0.5 cm)</v>
          </cell>
          <cell r="C493" t="str">
            <v>m2</v>
          </cell>
          <cell r="D493">
            <v>3.6324999999999998</v>
          </cell>
        </row>
        <row r="494">
          <cell r="A494" t="str">
            <v>001.10.00170</v>
          </cell>
          <cell r="B494" t="str">
            <v>Revestimento c/ argamassa de barita e = 1O mm</v>
          </cell>
          <cell r="C494" t="str">
            <v>m2</v>
          </cell>
          <cell r="D494">
            <v>42.392600000000002</v>
          </cell>
        </row>
        <row r="495">
          <cell r="A495" t="str">
            <v>001.10.00180</v>
          </cell>
          <cell r="B495" t="str">
            <v>Reboco barra lisa com argamassa de cimento e areia 1:1.5 com impermeabilizante inclusive emboço de cimento e areia 1:4</v>
          </cell>
          <cell r="C495" t="str">
            <v>M2</v>
          </cell>
          <cell r="D495">
            <v>17.493600000000001</v>
          </cell>
        </row>
        <row r="496">
          <cell r="A496" t="str">
            <v>001.10.00200</v>
          </cell>
          <cell r="B496" t="str">
            <v>Barra lisa c/ acabamento em nata de cimento comum c/ desempenadeira de aço sobre emboço de cimento e areia 1:4</v>
          </cell>
          <cell r="C496" t="str">
            <v>m2</v>
          </cell>
          <cell r="D496">
            <v>12.008100000000001</v>
          </cell>
        </row>
        <row r="497">
          <cell r="A497" t="str">
            <v>001.10.00220</v>
          </cell>
          <cell r="B497" t="str">
            <v>Barra lisa c/ acabamento em nata de cimento comum c/ desempenadeira de aço sobre emboço de cimento e areia 1:4:8</v>
          </cell>
          <cell r="C497" t="str">
            <v>m2</v>
          </cell>
          <cell r="D497">
            <v>11.581300000000001</v>
          </cell>
        </row>
        <row r="498">
          <cell r="A498" t="str">
            <v>001.10.00240</v>
          </cell>
          <cell r="B498" t="str">
            <v>Barra lisa c/ acabamento em nata de cimento branco c/ desempenadeira de aço sobre emboço de cimento e areia 1:4</v>
          </cell>
          <cell r="C498" t="str">
            <v>m2</v>
          </cell>
          <cell r="D498">
            <v>14.0441</v>
          </cell>
        </row>
        <row r="499">
          <cell r="A499" t="str">
            <v>001.10.00260</v>
          </cell>
          <cell r="B499" t="str">
            <v>Barra lisa c/ acabamento em nata de cimento comum c/ desempenadeira de aço sobre emboço de cimento e areia 1:4:8</v>
          </cell>
          <cell r="C499" t="str">
            <v>m2</v>
          </cell>
          <cell r="D499">
            <v>11.581300000000001</v>
          </cell>
        </row>
        <row r="500">
          <cell r="A500" t="str">
            <v>001.10.00280</v>
          </cell>
          <cell r="B500" t="str">
            <v>Revestimento com azulejo branco (dimensão mínima 150x150 mm, espessura mínima 4 mm) empregando argamassa pré fabricada de cimento colante (a prumo ), incl rejuntamento</v>
          </cell>
          <cell r="C500" t="str">
            <v>m2</v>
          </cell>
          <cell r="D500">
            <v>22.776800000000001</v>
          </cell>
        </row>
        <row r="501">
          <cell r="A501" t="str">
            <v>001.10.00300</v>
          </cell>
          <cell r="B501" t="str">
            <v>Revestimento com azulejo decorado (dimensão mínima 150x150 mm, espessura mínima 4 mm) empregando argamassa pré fabricada de cimento colante (a prumo ), incl rejuntamento</v>
          </cell>
          <cell r="C501" t="str">
            <v>m2</v>
          </cell>
          <cell r="D501">
            <v>19.9938</v>
          </cell>
        </row>
        <row r="502">
          <cell r="A502" t="str">
            <v>001.10.00320</v>
          </cell>
          <cell r="B502" t="str">
            <v>Revestimento Com Piso Parede (dimensão mínima 300x300 mm, espessura mínima 6 mm) Empregando Argamassa Pré Fabricada de Cimento Colante, incl Rejuntamento</v>
          </cell>
          <cell r="C502" t="str">
            <v>m2</v>
          </cell>
          <cell r="D502">
            <v>19.991800000000001</v>
          </cell>
        </row>
        <row r="503">
          <cell r="A503" t="str">
            <v>001.10.00330</v>
          </cell>
          <cell r="B503" t="str">
            <v>Fornecimento e Assentamento de Pastilha de Porcelana (dimensão mínima 100x100 mm, espessura mínima 8 mm), Assentada Com Argamassa Pré- Fabricada de Cimento Colante, Incl. Rejuntamento</v>
          </cell>
          <cell r="C503" t="str">
            <v>m2</v>
          </cell>
          <cell r="D503">
            <v>47.176099999999998</v>
          </cell>
        </row>
        <row r="504">
          <cell r="A504" t="str">
            <v>001.10.00560</v>
          </cell>
          <cell r="B504" t="str">
            <v>Revestimento c/ carpete 8 mm sobre parede</v>
          </cell>
          <cell r="C504" t="str">
            <v>M2</v>
          </cell>
          <cell r="D504">
            <v>24.803599999999999</v>
          </cell>
        </row>
        <row r="505">
          <cell r="A505" t="str">
            <v>001.10.00580</v>
          </cell>
          <cell r="B505" t="str">
            <v>Revestimento de paredes com laminado melaminico colado (formiplac texturizado)</v>
          </cell>
          <cell r="C505" t="str">
            <v>m2</v>
          </cell>
          <cell r="D505">
            <v>23.991599999999998</v>
          </cell>
        </row>
        <row r="506">
          <cell r="A506" t="str">
            <v>001.10.00660</v>
          </cell>
          <cell r="B506" t="str">
            <v>Faixas decorativas para portas e janelas, 10 cm de largura, em argamassa mista de cimento cal e areia</v>
          </cell>
          <cell r="C506" t="str">
            <v>M</v>
          </cell>
          <cell r="D506">
            <v>4.1908000000000003</v>
          </cell>
        </row>
        <row r="507">
          <cell r="A507" t="str">
            <v>001.10.00680</v>
          </cell>
          <cell r="B507" t="str">
            <v>Fornecimento e Assentamento de Faixa Cerâmica Decorada Para Cozinha e Banheiro</v>
          </cell>
          <cell r="C507" t="str">
            <v>ml</v>
          </cell>
          <cell r="D507">
            <v>13.7346</v>
          </cell>
        </row>
        <row r="508">
          <cell r="A508" t="str">
            <v>001.10.00740</v>
          </cell>
          <cell r="B508" t="str">
            <v>Correção de trincas em paredes, usando ferro de 1/4"""" e argamassa de cimento e areia 1:3</v>
          </cell>
          <cell r="C508" t="str">
            <v>M</v>
          </cell>
          <cell r="D508">
            <v>19.276900000000001</v>
          </cell>
        </row>
        <row r="509">
          <cell r="A509" t="str">
            <v>001.11</v>
          </cell>
          <cell r="B509" t="str">
            <v>PISOS RODAPÉS SOLEIRAS E PEITORIS</v>
          </cell>
          <cell r="D509">
            <v>1236.8943999999999</v>
          </cell>
        </row>
        <row r="510">
          <cell r="A510" t="str">
            <v>001.11.00010</v>
          </cell>
          <cell r="B510" t="str">
            <v>Preparo e apiloamento do local destinado a receber o piso, incl. carga e transporte manual de material de caixão de empréstimo para complementação do que faltar.</v>
          </cell>
          <cell r="C510" t="str">
            <v>m2</v>
          </cell>
          <cell r="D510">
            <v>5.9009</v>
          </cell>
        </row>
        <row r="511">
          <cell r="A511" t="str">
            <v>001.11.00015</v>
          </cell>
          <cell r="B511" t="str">
            <v>Fornecimento e Execução de Picoteamento de Piso Para Aplicação de Argamassa de Regularização em Pisos Pré Exitentes</v>
          </cell>
          <cell r="C511" t="str">
            <v>m2</v>
          </cell>
          <cell r="D511">
            <v>1.3325</v>
          </cell>
        </row>
        <row r="512">
          <cell r="A512" t="str">
            <v>001.11.00040</v>
          </cell>
          <cell r="B512" t="str">
            <v>Regularização de laje ou lastro de concreto com argamassa de cimento e areia no traço 1:3, procedendo-se da seguinte maneira: umidecer abundantemente o contrapiso, aplicar nata de agua e cimento e finalmente a aplicar da argamassa de regularização.</v>
          </cell>
          <cell r="C512" t="str">
            <v>m3</v>
          </cell>
          <cell r="D512">
            <v>283.80529999999999</v>
          </cell>
        </row>
        <row r="513">
          <cell r="A513" t="str">
            <v>001.11.00050</v>
          </cell>
          <cell r="B513" t="str">
            <v>Contrapiso de concreto não estrutural Fck=13,5 Mpa, preparado com régua de alumínio e desempenadeira de madeira, perfeitamente nivelado, pronto para receber o piso, esp.= 6.00 cm</v>
          </cell>
          <cell r="C513" t="str">
            <v>m2</v>
          </cell>
          <cell r="D513">
            <v>16.967300000000002</v>
          </cell>
        </row>
        <row r="514">
          <cell r="A514" t="str">
            <v>001.11.00060</v>
          </cell>
          <cell r="B514" t="str">
            <v>Calçada em concreto Fck=13,5 Mpa no traco 1:3:6 com junta de dilatação de madeira 1.2 cm de espessura formando quadro 2.0 x 2.0 m com 6.0 cm de espessura, preparado com régua de alumínio e desempenadeira de madeira, perfeitamente nivelado.</v>
          </cell>
          <cell r="C514" t="str">
            <v>m2</v>
          </cell>
          <cell r="D514">
            <v>19.508099999999999</v>
          </cell>
        </row>
        <row r="515">
          <cell r="A515" t="str">
            <v>001.11.00080</v>
          </cell>
          <cell r="B515" t="str">
            <v>Calçada em concreto Fck=13,5 Mpa, no traço 1:3:6 com junta de dilatação seca, formando quadro de 2.00x2.00 m, com 6 cm de espessura, preparado com régua de alumínio e desempenadeira de madeira, perfeitamente nivelado.</v>
          </cell>
          <cell r="C515" t="str">
            <v>m2</v>
          </cell>
          <cell r="D515">
            <v>19.508099999999999</v>
          </cell>
        </row>
        <row r="516">
          <cell r="A516" t="str">
            <v>001.11.00100</v>
          </cell>
          <cell r="B516" t="str">
            <v>Calçada em Concreto Usinado 13,50 Mpa, Com Junta de Dilatação de Ripa de Madeira de 1.20 cm de Espessura formando Quadro 1.50 x 1.50 m, sendo a espessura de e= 5.00 cm, preparado com régua de alumínio e desempenadeira de madeira, perfeitamente nivelado.</v>
          </cell>
          <cell r="C516" t="str">
            <v>m2</v>
          </cell>
          <cell r="D516">
            <v>20.432700000000001</v>
          </cell>
        </row>
        <row r="517">
          <cell r="A517" t="str">
            <v>001.11.00110</v>
          </cell>
          <cell r="B517" t="str">
            <v>Calçada em Concreto Usinado 13,50 Mpa, Com Junta de Dilatação de Ripa de Madeira de 1.20 cm de Espessura formando Quadro 1.50 x 1.50 m, sendo a espessura de e=7.00 cm, preparado com régua de alumínio e desempenadeira de madeira, perfeitamente nivelado.</v>
          </cell>
          <cell r="C517" t="str">
            <v>m2</v>
          </cell>
          <cell r="D517">
            <v>25.315899999999999</v>
          </cell>
        </row>
        <row r="518">
          <cell r="A518" t="str">
            <v>001.11.00180</v>
          </cell>
          <cell r="B518" t="str">
            <v>Cimentado liso queimado c/espessura de 1.5 cm c/argamassa de cimento e areia no traço 1:3, procedendo-se da seguinte maneira: umidecer abundantemente o contrapiso, aplicar nata de agua e cimento e finalmente a aplicar da argamassa de acabamento.</v>
          </cell>
          <cell r="C518" t="str">
            <v>m2</v>
          </cell>
          <cell r="D518">
            <v>6.6917999999999997</v>
          </cell>
        </row>
        <row r="519">
          <cell r="A519" t="str">
            <v>001.11.00200</v>
          </cell>
          <cell r="B519" t="str">
            <v>Cimentado liso queimado c/espessura de 2 cm usando argamassa de cimento e areia 1:3 c/ juntas plásticas de 19 mm formando quadros de 2.00 x 2.00 m,umidecer abundantemente o contrapiso, aplicar nata de agua e cimento e finalmente a aplicar a argamassa.</v>
          </cell>
          <cell r="C519" t="str">
            <v>m2</v>
          </cell>
          <cell r="D519">
            <v>10.9033</v>
          </cell>
        </row>
        <row r="520">
          <cell r="A520" t="str">
            <v>001.11.00280</v>
          </cell>
          <cell r="B520" t="str">
            <v>Cimentado liso queimado c/ po xadrez e=1.5 cm c/argamassa de cimento e areia no traço 1:3, umidecer abundantemente o contrapiso, aplicar nata de agua e cimento e finalmente a aplicar a argamassa.</v>
          </cell>
          <cell r="C520" t="str">
            <v>m2</v>
          </cell>
          <cell r="D520">
            <v>7.5258000000000003</v>
          </cell>
        </row>
        <row r="521">
          <cell r="A521" t="str">
            <v>001.11.00310</v>
          </cell>
          <cell r="B521" t="str">
            <v>Revestimento com Piso Cerâmico Esmaltado (dimensão mínima 300x300mm, espessura mínima 8 mm), PI 02, Assentado Com Argamassa Colante Uso Interno, incl. rejuntamento.</v>
          </cell>
          <cell r="C521" t="str">
            <v>m2</v>
          </cell>
          <cell r="D521">
            <v>19.514099999999999</v>
          </cell>
        </row>
        <row r="522">
          <cell r="A522" t="str">
            <v>001.11.00311</v>
          </cell>
          <cell r="B522" t="str">
            <v>Revestimento com Piso Cerâmico Esmaltado (dimensão mínima 300x300mm, espessura mínima 8 mm), PI 03, Assentado Com Argamassa Colante Uso Interno, incl. rejuntamento</v>
          </cell>
          <cell r="C522" t="str">
            <v>m2</v>
          </cell>
          <cell r="D522">
            <v>19.514099999999999</v>
          </cell>
        </row>
        <row r="523">
          <cell r="A523" t="str">
            <v>001.11.00312</v>
          </cell>
          <cell r="B523" t="str">
            <v>Revestimento com Piso Cerâmico Esmaltado (dimensão mínima 300x300mm, espessura mínima 8 mm), PI 04, Assentado Com Argamassa Colante Uso Interno, incl. rejuntamento</v>
          </cell>
          <cell r="C523" t="str">
            <v>m2</v>
          </cell>
          <cell r="D523">
            <v>19.514099999999999</v>
          </cell>
        </row>
        <row r="524">
          <cell r="A524" t="str">
            <v>001.11.00313</v>
          </cell>
          <cell r="B524" t="str">
            <v>Revestimento com Piso Cerâmico Esmaltado (dimensão mínima 300x300mm, espessura mínima 8 mm), PI 05, Assentado Com Argamassa Colante Uso Interno, incl. rejuntamento</v>
          </cell>
          <cell r="C524" t="str">
            <v>m2</v>
          </cell>
          <cell r="D524">
            <v>19.514099999999999</v>
          </cell>
        </row>
        <row r="525">
          <cell r="A525" t="str">
            <v>001.11.00321</v>
          </cell>
          <cell r="B525" t="str">
            <v>Revestimento de pisos e lajotas cerâmicas 30x30 cm assente c/argamassa de cimento e areia 1:4</v>
          </cell>
          <cell r="C525" t="str">
            <v>M2</v>
          </cell>
          <cell r="D525">
            <v>21.881699999999999</v>
          </cell>
        </row>
        <row r="526">
          <cell r="A526" t="str">
            <v>001.11.00341</v>
          </cell>
          <cell r="B526" t="str">
            <v>Assentamento de ladrilho hidráulico cor natural do cimento, assente com argamassa mista de cimento, cal e areia traço 1:4 adição 100 kg cimento</v>
          </cell>
          <cell r="C526" t="str">
            <v>m2</v>
          </cell>
          <cell r="D526">
            <v>34.721200000000003</v>
          </cell>
        </row>
        <row r="527">
          <cell r="A527" t="str">
            <v>001.11.00342</v>
          </cell>
          <cell r="B527" t="str">
            <v>Assentamento de ladrilho hidráulico cor única, assente com argamassa mista de cimento, cal e areia traço 1:4 adição 100 kg cimento</v>
          </cell>
          <cell r="C527" t="str">
            <v>m2</v>
          </cell>
          <cell r="D527">
            <v>36.921199999999999</v>
          </cell>
        </row>
        <row r="528">
          <cell r="A528" t="str">
            <v>001.11.00343</v>
          </cell>
          <cell r="B528" t="str">
            <v>Assentamento de ladrilho hidráulico tipo Cuiabá, assente com argamassa mista de cimento, cal e areia traço 1:4 adição 100 kg cimento</v>
          </cell>
          <cell r="C528" t="str">
            <v>m2</v>
          </cell>
          <cell r="D528">
            <v>38.0212</v>
          </cell>
        </row>
        <row r="529">
          <cell r="A529" t="str">
            <v>001.11.00344</v>
          </cell>
          <cell r="B529" t="str">
            <v>Assentamento de ladrilho hidráulico tipo Copacabana, assente com argamassa mista de cimento, cal e areia traço 1:4 adição 100 kg cimento</v>
          </cell>
          <cell r="C529" t="str">
            <v>m2</v>
          </cell>
          <cell r="D529">
            <v>43.5212</v>
          </cell>
        </row>
        <row r="530">
          <cell r="A530" t="str">
            <v>001.11.00461</v>
          </cell>
          <cell r="B530" t="str">
            <v>Revestimento de piso em granilite fundido no local formando quadros de 2.00 m2 de área ( no máximo) com junta plastica colorida e faixa perimétrica de 30 cm na cor preta fazendo meia cana, aplicação de 2 demãos de resina acrilica</v>
          </cell>
          <cell r="C530" t="str">
            <v>m2</v>
          </cell>
          <cell r="D530">
            <v>16.6541</v>
          </cell>
        </row>
        <row r="531">
          <cell r="A531" t="str">
            <v>001.11.00481</v>
          </cell>
          <cell r="B531" t="str">
            <v>Assentamento de junta plástica de dilatacao p/pisos de 19 mm</v>
          </cell>
          <cell r="C531" t="str">
            <v>ML</v>
          </cell>
          <cell r="D531">
            <v>1.6704000000000001</v>
          </cell>
        </row>
        <row r="532">
          <cell r="A532" t="str">
            <v>001.11.00581</v>
          </cell>
          <cell r="B532" t="str">
            <v>Revestimento de piso em ardosia natural 40x40cm cor preta tipo on com resinex</v>
          </cell>
          <cell r="C532" t="str">
            <v>M2</v>
          </cell>
          <cell r="D532">
            <v>26.732700000000001</v>
          </cell>
        </row>
        <row r="533">
          <cell r="A533" t="str">
            <v>001.11.00601</v>
          </cell>
          <cell r="B533" t="str">
            <v>Revestimento de paviflex sobre lastro ou laje regularizada, assentado com cola especial de 2.00 mm de espessura</v>
          </cell>
          <cell r="C533" t="str">
            <v>M2</v>
          </cell>
          <cell r="D533">
            <v>40.183599999999998</v>
          </cell>
        </row>
        <row r="534">
          <cell r="A534" t="str">
            <v>001.11.00621</v>
          </cell>
          <cell r="B534" t="str">
            <v>Revestimento de paviflex sobre lastro ou laje regularizada, assentado com cola especial de 3.20 mm de espessura</v>
          </cell>
          <cell r="C534" t="str">
            <v>M2</v>
          </cell>
          <cell r="D534">
            <v>68.533600000000007</v>
          </cell>
        </row>
        <row r="535">
          <cell r="A535" t="str">
            <v>001.11.00641</v>
          </cell>
          <cell r="B535" t="str">
            <v>Revestimento de paviflex sobre lastro ou laje regularizada, assentado com cola especial de 1.60 mm de espessura</v>
          </cell>
          <cell r="C535" t="str">
            <v>M2</v>
          </cell>
          <cell r="D535">
            <v>32.833599999999997</v>
          </cell>
        </row>
        <row r="536">
          <cell r="A536" t="str">
            <v>001.11.00681</v>
          </cell>
          <cell r="B536" t="str">
            <v>Revestimento da escada (degrau e espelho) c/ ardósia preta tipo on c/ resinex</v>
          </cell>
          <cell r="C536" t="str">
            <v>M2</v>
          </cell>
          <cell r="D536">
            <v>30.999199999999998</v>
          </cell>
        </row>
        <row r="537">
          <cell r="A537" t="str">
            <v>001.11.00701</v>
          </cell>
          <cell r="B537" t="str">
            <v>Execução de Piso em Concreto Usinado Armado Fck=15 Mpa, espessura do concreto e=15, incluso lastro de brita espessura e= 5 cm, e tela soldada Q 92 de 15 x 15 cm , diam do aço 4.20 mm2, acabamento do piso sem elementos mecânicos</v>
          </cell>
          <cell r="C537" t="str">
            <v>m2</v>
          </cell>
          <cell r="D537">
            <v>42.729100000000003</v>
          </cell>
        </row>
        <row r="538">
          <cell r="A538" t="str">
            <v>001.11.00721</v>
          </cell>
          <cell r="B538" t="str">
            <v>Assentamento de rodapé de cimentado usando argamassa de cimento e areia 1:3 com altura de 10 cm, simples</v>
          </cell>
          <cell r="C538" t="str">
            <v>ML</v>
          </cell>
          <cell r="D538">
            <v>5.4762000000000004</v>
          </cell>
        </row>
        <row r="539">
          <cell r="A539" t="str">
            <v>001.11.00741</v>
          </cell>
          <cell r="B539" t="str">
            <v>Assentamento de rodapé de cimentado usando argamassa de cimento e areia 1:3 com altura de 10 cm, de cor</v>
          </cell>
          <cell r="C539" t="str">
            <v>ML</v>
          </cell>
          <cell r="D539">
            <v>6.3990999999999998</v>
          </cell>
        </row>
        <row r="540">
          <cell r="A540" t="str">
            <v>001.11.00761</v>
          </cell>
          <cell r="B540" t="str">
            <v>Assentamento de rodapés para pisos em ceramica 30x30</v>
          </cell>
          <cell r="C540" t="str">
            <v>ML</v>
          </cell>
          <cell r="D540">
            <v>5.4912999999999998</v>
          </cell>
        </row>
        <row r="541">
          <cell r="A541" t="str">
            <v>001.11.00781</v>
          </cell>
          <cell r="B541" t="str">
            <v>Assentamento de rodapés de de madeira de 10 cm de altura</v>
          </cell>
          <cell r="C541" t="str">
            <v>ML</v>
          </cell>
          <cell r="D541">
            <v>7.4458000000000002</v>
          </cell>
        </row>
        <row r="542">
          <cell r="A542" t="str">
            <v>001.11.00821</v>
          </cell>
          <cell r="B542" t="str">
            <v>Assentamento de mármore c/10 cm de altura e 2.00 cm de espessura</v>
          </cell>
          <cell r="C542" t="str">
            <v>ML</v>
          </cell>
          <cell r="D542">
            <v>19.636099999999999</v>
          </cell>
        </row>
        <row r="543">
          <cell r="A543" t="str">
            <v>001.11.00841</v>
          </cell>
          <cell r="B543" t="str">
            <v>Assentamento de rodapé de cerâmica empregando pasta de argamassa de cimento colante</v>
          </cell>
          <cell r="C543" t="str">
            <v>ML</v>
          </cell>
          <cell r="D543">
            <v>2.1575000000000002</v>
          </cell>
        </row>
        <row r="544">
          <cell r="A544" t="str">
            <v>001.11.00861</v>
          </cell>
          <cell r="B544" t="str">
            <v>Assentamento de paviflex c/9 cm de altura assente com cola especial</v>
          </cell>
          <cell r="C544" t="str">
            <v>ML</v>
          </cell>
          <cell r="D544">
            <v>4.3353999999999999</v>
          </cell>
        </row>
        <row r="545">
          <cell r="A545" t="str">
            <v>001.11.00901</v>
          </cell>
          <cell r="B545" t="str">
            <v>Assentamento de rodapé de madeira de peróba 7x1.5 cm fixados c/tacos de peróba previamente chumbados na alvenaria c/ espaçamento max. de 2.00x2.00 m</v>
          </cell>
          <cell r="C545" t="str">
            <v>ML</v>
          </cell>
          <cell r="D545">
            <v>22.854800000000001</v>
          </cell>
        </row>
        <row r="546">
          <cell r="A546" t="str">
            <v>001.11.00921</v>
          </cell>
          <cell r="B546" t="str">
            <v>Assentamento de rodapé de ardósia natural</v>
          </cell>
          <cell r="C546" t="str">
            <v>ML</v>
          </cell>
          <cell r="D546">
            <v>7.9911000000000003</v>
          </cell>
        </row>
        <row r="547">
          <cell r="A547" t="str">
            <v>001.11.00941</v>
          </cell>
          <cell r="B547" t="str">
            <v>Assentamento de rodapé de granito na cor verde ubatuba com 7 cm de espessura</v>
          </cell>
          <cell r="C547" t="str">
            <v>ML</v>
          </cell>
          <cell r="D547">
            <v>19.324100000000001</v>
          </cell>
        </row>
        <row r="548">
          <cell r="A548" t="str">
            <v>001.11.00961</v>
          </cell>
          <cell r="B548" t="str">
            <v>Assentamento de rodapé de de lajota colonial</v>
          </cell>
          <cell r="C548" t="str">
            <v>ML</v>
          </cell>
          <cell r="D548">
            <v>8.1670999999999996</v>
          </cell>
        </row>
        <row r="549">
          <cell r="A549" t="str">
            <v>001.11.00981</v>
          </cell>
          <cell r="B549" t="str">
            <v>Assentamento de soleiras externas c/ pingadeira ou ressalto penetrando 2.50 cm de c/ lado da alvenaria assentado c/ aragam. de cimento e areia no traço 1:4, de mármore branco marfim 3.00 cm</v>
          </cell>
          <cell r="C549" t="str">
            <v>ML</v>
          </cell>
          <cell r="D549">
            <v>21.161999999999999</v>
          </cell>
        </row>
        <row r="550">
          <cell r="A550" t="str">
            <v>001.11.01001</v>
          </cell>
          <cell r="B550" t="str">
            <v>Assentamento de soleiras externas c/ pingadeira ou ressalto penetrando 2.50 cm de c/ lado da alvenaria assentado c/ aragam. de cimento e areia no traço 1:4, de granilite</v>
          </cell>
          <cell r="C550" t="str">
            <v>ML</v>
          </cell>
          <cell r="D550">
            <v>6.5724</v>
          </cell>
        </row>
        <row r="551">
          <cell r="A551" t="str">
            <v>001.11.01021</v>
          </cell>
          <cell r="B551" t="str">
            <v>Assentamento de soleira interna de 0.15 m de mármore branco marfim 3.00 cmassente c/ argamassa de cimento e areia 1:4 m</v>
          </cell>
          <cell r="C551" t="str">
            <v>ML</v>
          </cell>
          <cell r="D551">
            <v>20.3873</v>
          </cell>
        </row>
        <row r="552">
          <cell r="A552" t="str">
            <v>001.11.01041</v>
          </cell>
          <cell r="B552" t="str">
            <v>Assentamento de soleira interna de 0.15 m de granilite  assente c/ argamassa de cimento e areia 1:4 m</v>
          </cell>
          <cell r="C552" t="str">
            <v>ML</v>
          </cell>
          <cell r="D552">
            <v>7.1898</v>
          </cell>
        </row>
        <row r="553">
          <cell r="A553" t="str">
            <v>001.11.01061</v>
          </cell>
          <cell r="B553" t="str">
            <v>Assentamento de soleira interna de 0.15 m de ardósia ,assente c/ argamassa de cimento e areia no traço 1:4</v>
          </cell>
          <cell r="C553" t="str">
            <v>ML</v>
          </cell>
          <cell r="D553">
            <v>11.455299999999999</v>
          </cell>
        </row>
        <row r="554">
          <cell r="A554" t="str">
            <v>001.11.01081</v>
          </cell>
          <cell r="B554" t="str">
            <v>Assentamento de soleira de granito l=0,15m e=2cm</v>
          </cell>
          <cell r="C554" t="str">
            <v>UN</v>
          </cell>
          <cell r="D554">
            <v>23.486999999999998</v>
          </cell>
        </row>
        <row r="555">
          <cell r="A555" t="str">
            <v>001.11.01101</v>
          </cell>
          <cell r="B555" t="str">
            <v>Assentamento de soleira de granito na cor verde ubatuba l=15 cm</v>
          </cell>
          <cell r="C555" t="str">
            <v>ML</v>
          </cell>
          <cell r="D555">
            <v>40.587000000000003</v>
          </cell>
        </row>
        <row r="556">
          <cell r="A556" t="str">
            <v>001.11.01121</v>
          </cell>
          <cell r="B556" t="str">
            <v>Assentamento de peitoril de mármore branco espessura 3.00 cm, assente com argamassa de cimento e areia traço 1:4</v>
          </cell>
          <cell r="C556" t="str">
            <v>ML</v>
          </cell>
          <cell r="D556">
            <v>17.907399999999999</v>
          </cell>
        </row>
        <row r="557">
          <cell r="A557" t="str">
            <v>001.11.01141</v>
          </cell>
          <cell r="B557" t="str">
            <v>Assentamento de peitoril de granilite espessura 2.50 cm, assente com argamassa de cimento e areia traço 1:4</v>
          </cell>
          <cell r="C557" t="str">
            <v>ML</v>
          </cell>
          <cell r="D557">
            <v>8.5264000000000006</v>
          </cell>
        </row>
        <row r="558">
          <cell r="A558" t="str">
            <v>001.11.01161</v>
          </cell>
          <cell r="B558" t="str">
            <v>Assentamento de peitoril de ardósia polida  espessura 3.00 cm, assente com argamassa de cimento e areia traço 1:4</v>
          </cell>
          <cell r="C558" t="str">
            <v>ml</v>
          </cell>
          <cell r="D558">
            <v>14.244999999999999</v>
          </cell>
        </row>
        <row r="559">
          <cell r="A559" t="str">
            <v>001.11.01181</v>
          </cell>
          <cell r="B559" t="str">
            <v>Assentamento de peitoril interno de mármore branco espessura 2.00 cm, assentes com argamassa de cimento e areia 1:4</v>
          </cell>
          <cell r="C559" t="str">
            <v>ML</v>
          </cell>
          <cell r="D559">
            <v>18.947700000000001</v>
          </cell>
        </row>
        <row r="560">
          <cell r="A560" t="str">
            <v>001.11.01201</v>
          </cell>
          <cell r="B560" t="str">
            <v>Assentamento de peitoril interno de granilite espessura 2.50 cm, assentes com argamassa de cimento e areia 1:4</v>
          </cell>
          <cell r="C560" t="str">
            <v>ML</v>
          </cell>
          <cell r="D560">
            <v>5.7976999999999999</v>
          </cell>
        </row>
        <row r="561">
          <cell r="A561" t="str">
            <v>001.12</v>
          </cell>
          <cell r="B561" t="str">
            <v>FORROS E DIVISÓRIAS</v>
          </cell>
          <cell r="D561">
            <v>1101.4413</v>
          </cell>
        </row>
        <row r="562">
          <cell r="A562" t="str">
            <v>001.12.00020</v>
          </cell>
          <cell r="B562" t="str">
            <v>Forro de tábuas de cedrinho 10.00x1.00 cm aplicados em sarrafos 10x2.5 cm espacados de 50x50 cm</v>
          </cell>
          <cell r="C562" t="str">
            <v>M2</v>
          </cell>
          <cell r="D562">
            <v>28.898499999999999</v>
          </cell>
        </row>
        <row r="563">
          <cell r="A563" t="str">
            <v>001.12.00040</v>
          </cell>
          <cell r="B563" t="str">
            <v>Forro de tábuas de cedrinho 10.00x1.00 cm aplicados em caibros de 5x6 cm espaçados de 50x50 cm</v>
          </cell>
          <cell r="C563" t="str">
            <v>M2</v>
          </cell>
          <cell r="D563">
            <v>29.525500000000001</v>
          </cell>
        </row>
        <row r="564">
          <cell r="A564" t="str">
            <v>001.12.00100</v>
          </cell>
          <cell r="B564" t="str">
            <v>Cimalha de cedrinho</v>
          </cell>
          <cell r="C564" t="str">
            <v>ML</v>
          </cell>
          <cell r="D564">
            <v>2.3441000000000001</v>
          </cell>
        </row>
        <row r="565">
          <cell r="A565" t="str">
            <v>001.12.00140</v>
          </cell>
          <cell r="B565" t="str">
            <v>Forro de gesso 60x60 cm liso fixado diretamente na estrutura por meio de arame galvanizado</v>
          </cell>
          <cell r="C565" t="str">
            <v>m2</v>
          </cell>
          <cell r="D565">
            <v>17.436599999999999</v>
          </cell>
        </row>
        <row r="566">
          <cell r="A566" t="str">
            <v>001.12.00150</v>
          </cell>
          <cell r="B566" t="str">
            <v>Forro Em Gesso Acartonado com Painel FGA  incl. assessórios</v>
          </cell>
          <cell r="C566" t="str">
            <v>m2</v>
          </cell>
          <cell r="D566">
            <v>31.337399999999999</v>
          </cell>
        </row>
        <row r="567">
          <cell r="A567" t="str">
            <v>001.12.00155</v>
          </cell>
          <cell r="B567" t="str">
            <v>Forro Em Gesso Acartonado com Painel FGE  incl. assessórios</v>
          </cell>
          <cell r="C567" t="str">
            <v>m2</v>
          </cell>
          <cell r="D567">
            <v>35.223300000000002</v>
          </cell>
        </row>
        <row r="568">
          <cell r="A568" t="str">
            <v>001.12.00160</v>
          </cell>
          <cell r="B568" t="str">
            <v>Fornecimento e Instalação de Moldura em Gesso h=7 cm</v>
          </cell>
          <cell r="C568" t="str">
            <v>m</v>
          </cell>
          <cell r="D568">
            <v>7</v>
          </cell>
        </row>
        <row r="569">
          <cell r="A569" t="str">
            <v>001.12.00180</v>
          </cell>
          <cell r="B569" t="str">
            <v>Sanca de gesso l=1,20 m</v>
          </cell>
          <cell r="C569" t="str">
            <v>ML</v>
          </cell>
          <cell r="D569">
            <v>25</v>
          </cell>
        </row>
        <row r="570">
          <cell r="A570" t="str">
            <v>001.12.00200</v>
          </cell>
          <cell r="B570" t="str">
            <v>Sanca de gesso l=0,30m</v>
          </cell>
          <cell r="C570" t="str">
            <v>ML</v>
          </cell>
          <cell r="D570">
            <v>9</v>
          </cell>
        </row>
        <row r="571">
          <cell r="A571" t="str">
            <v>001.12.00320</v>
          </cell>
          <cell r="B571" t="str">
            <v>Fornecimento e Instalação de Forro de pvc branco 200 mm, incl. estrutura para fixação em metalon galvanizado e rodaforro</v>
          </cell>
          <cell r="C571" t="str">
            <v>m2</v>
          </cell>
          <cell r="D571">
            <v>29</v>
          </cell>
        </row>
        <row r="572">
          <cell r="A572" t="str">
            <v>001.12.00360</v>
          </cell>
          <cell r="B572" t="str">
            <v>Substituição de tábuas p/forro de cedrinho</v>
          </cell>
          <cell r="C572" t="str">
            <v>M2</v>
          </cell>
          <cell r="D572">
            <v>18.536999999999999</v>
          </cell>
        </row>
        <row r="573">
          <cell r="A573" t="str">
            <v>001.12.00380</v>
          </cell>
          <cell r="B573" t="str">
            <v>Repregamento de forro de madeira</v>
          </cell>
          <cell r="C573" t="str">
            <v>M2</v>
          </cell>
          <cell r="D573">
            <v>1.2952999999999999</v>
          </cell>
        </row>
        <row r="574">
          <cell r="A574" t="str">
            <v>001.12.00600</v>
          </cell>
          <cell r="B574" t="str">
            <v>Fornecimento e instalação de divisória de granilite para sanitários assentada com argamassa de cimento e areia 1:3</v>
          </cell>
          <cell r="C574" t="str">
            <v>m2</v>
          </cell>
          <cell r="D574">
            <v>118.28060000000001</v>
          </cell>
        </row>
        <row r="575">
          <cell r="A575" t="str">
            <v>001.12.00700</v>
          </cell>
          <cell r="B575" t="str">
            <v>Fornecimento e instalação de divisória p/ banheiro em ardosia polida natural c/ resinex</v>
          </cell>
          <cell r="C575" t="str">
            <v>m2</v>
          </cell>
          <cell r="D575">
            <v>109.6836</v>
          </cell>
        </row>
        <row r="576">
          <cell r="A576" t="str">
            <v>001.12.00800</v>
          </cell>
          <cell r="B576" t="str">
            <v>Fornecimento e instalação de divisória p/ banheiro em granito polido, assente com argamassa,  na cor cinza.</v>
          </cell>
          <cell r="C576" t="str">
            <v>m2</v>
          </cell>
          <cell r="D576">
            <v>156.2336</v>
          </cell>
        </row>
        <row r="577">
          <cell r="A577" t="str">
            <v>001.12.00900</v>
          </cell>
          <cell r="B577" t="str">
            <v>Fornecimento e instalação de divisória naval stander padrão bege com perfis de aço na cor preto , cinza ou branco</v>
          </cell>
          <cell r="C577" t="str">
            <v>m2</v>
          </cell>
          <cell r="D577">
            <v>42.383400000000002</v>
          </cell>
        </row>
        <row r="578">
          <cell r="A578" t="str">
            <v>001.12.00920</v>
          </cell>
          <cell r="B578" t="str">
            <v>Fornecimento e instalação de porta de divisória  incl.montante , fechadura e dobradiças, divisória naval stander branco, cinza ou areia jundiai  com perfis de aço na cor preto, branco e cinza</v>
          </cell>
          <cell r="C578" t="str">
            <v>cj</v>
          </cell>
          <cell r="D578">
            <v>126.0202</v>
          </cell>
        </row>
        <row r="579">
          <cell r="A579" t="str">
            <v>001.12.00940</v>
          </cell>
          <cell r="B579" t="str">
            <v>Fornecimento e instalação de divisória naval stander padrão branco, cinza ou areia jundiai, perfis de aço na cor preta e bandeira em vidro</v>
          </cell>
          <cell r="C579" t="str">
            <v>m2</v>
          </cell>
          <cell r="D579">
            <v>56.060600000000001</v>
          </cell>
        </row>
        <row r="580">
          <cell r="A580" t="str">
            <v>001.12.00960</v>
          </cell>
          <cell r="B580" t="str">
            <v>Fornecimento e instalação de porta de divisória  incl.montante , fechadura e dobradiças, divisória naval stander branco, cinza ou areia jundiai  com perfis de aço na cor preto, branco e cinza</v>
          </cell>
          <cell r="C580" t="str">
            <v>cj</v>
          </cell>
          <cell r="D580">
            <v>126.0202</v>
          </cell>
        </row>
        <row r="581">
          <cell r="A581" t="str">
            <v>001.12.00980</v>
          </cell>
          <cell r="B581" t="str">
            <v>Fornecimento e instalação de ferragens para porta de divisória</v>
          </cell>
          <cell r="C581" t="str">
            <v>un</v>
          </cell>
          <cell r="D581">
            <v>71.010099999999994</v>
          </cell>
        </row>
        <row r="582">
          <cell r="A582" t="str">
            <v>001.12.01000</v>
          </cell>
          <cell r="B582" t="str">
            <v>Parede Em Gesso Acartonado Revestida nas Duas Faces com Painel FGE sendo Montante e Guia 75, incl. parafuso GN 25, Massa e Fita .</v>
          </cell>
          <cell r="C582" t="str">
            <v>m2</v>
          </cell>
          <cell r="D582">
            <v>61.151299999999999</v>
          </cell>
        </row>
        <row r="583">
          <cell r="A583" t="str">
            <v>001.13</v>
          </cell>
          <cell r="B583" t="str">
            <v>VIDROS</v>
          </cell>
          <cell r="D583">
            <v>2710.9706000000001</v>
          </cell>
        </row>
        <row r="584">
          <cell r="A584" t="str">
            <v>001.13.00020</v>
          </cell>
          <cell r="B584" t="str">
            <v>Fornecimento e Instalação de Vidro liso incolor espessura 3.00 mm</v>
          </cell>
          <cell r="C584" t="str">
            <v>m2</v>
          </cell>
          <cell r="D584">
            <v>42</v>
          </cell>
        </row>
        <row r="585">
          <cell r="A585" t="str">
            <v>001.13.00040</v>
          </cell>
          <cell r="B585" t="str">
            <v>Fornecimento e Instalação de Vidro liso incolor espessura 4.00 mm</v>
          </cell>
          <cell r="C585" t="str">
            <v>m2</v>
          </cell>
          <cell r="D585">
            <v>58</v>
          </cell>
        </row>
        <row r="586">
          <cell r="A586" t="str">
            <v>001.13.00060</v>
          </cell>
          <cell r="B586" t="str">
            <v>Fornecimento e Instalação de Vidro liso incolor espessura 5.00 mm</v>
          </cell>
          <cell r="C586" t="str">
            <v>m2</v>
          </cell>
          <cell r="D586">
            <v>75</v>
          </cell>
        </row>
        <row r="587">
          <cell r="A587" t="str">
            <v>001.13.00080</v>
          </cell>
          <cell r="B587" t="str">
            <v>Fornecimento e Instalação de Vidro liso incolor espessura 6.00 mm</v>
          </cell>
          <cell r="C587" t="str">
            <v>m2</v>
          </cell>
          <cell r="D587">
            <v>85</v>
          </cell>
        </row>
        <row r="588">
          <cell r="A588" t="str">
            <v>001.13.00081</v>
          </cell>
          <cell r="B588" t="str">
            <v>Fornecimento e Instalação de Vidro liso incolor espessura 8.00 mm</v>
          </cell>
          <cell r="C588" t="str">
            <v>m2</v>
          </cell>
          <cell r="D588">
            <v>100</v>
          </cell>
        </row>
        <row r="589">
          <cell r="A589" t="str">
            <v>001.13.00082</v>
          </cell>
          <cell r="B589" t="str">
            <v>Fornecimento e Instalação de Vidro liso incolor espessura 10.00 mm</v>
          </cell>
          <cell r="C589" t="str">
            <v>m2</v>
          </cell>
          <cell r="D589">
            <v>145</v>
          </cell>
        </row>
        <row r="590">
          <cell r="A590" t="str">
            <v>001.13.00100</v>
          </cell>
          <cell r="B590" t="str">
            <v>Fornecimento e Instalação de Vidro martelado espessura 3.00 mm</v>
          </cell>
          <cell r="C590" t="str">
            <v>m2</v>
          </cell>
          <cell r="D590">
            <v>42</v>
          </cell>
        </row>
        <row r="591">
          <cell r="A591" t="str">
            <v>001.13.00120</v>
          </cell>
          <cell r="B591" t="str">
            <v>Fornecimento e Instalação de Vidro canelado comum espessura 4.00 mm</v>
          </cell>
          <cell r="C591" t="str">
            <v>m2</v>
          </cell>
          <cell r="D591">
            <v>42</v>
          </cell>
        </row>
        <row r="592">
          <cell r="A592" t="str">
            <v>001.13.00140</v>
          </cell>
          <cell r="B592" t="str">
            <v>Fornecimento e Instalação de Vidro liso fumê cinza espessura 4.00 mm</v>
          </cell>
          <cell r="C592" t="str">
            <v>m2</v>
          </cell>
          <cell r="D592">
            <v>85</v>
          </cell>
        </row>
        <row r="593">
          <cell r="A593" t="str">
            <v>001.13.00160</v>
          </cell>
          <cell r="B593" t="str">
            <v>Fornecimento e Instalação de Vidro liso fumê cinza espessura 5.00 mm</v>
          </cell>
          <cell r="C593" t="str">
            <v>m2</v>
          </cell>
          <cell r="D593">
            <v>100</v>
          </cell>
        </row>
        <row r="594">
          <cell r="A594" t="str">
            <v>001.13.00170</v>
          </cell>
          <cell r="B594" t="str">
            <v>Fornecimento e Instalação de Vidro liso cinza fumê espessura 6.00 mm</v>
          </cell>
          <cell r="C594" t="str">
            <v>m2</v>
          </cell>
          <cell r="D594">
            <v>115</v>
          </cell>
        </row>
        <row r="595">
          <cell r="A595" t="str">
            <v>001.13.00175</v>
          </cell>
          <cell r="B595" t="str">
            <v>Fornecimento e Instalação de Vidro liso cinza fumê espessura 8.00 mm</v>
          </cell>
          <cell r="C595" t="str">
            <v>m2</v>
          </cell>
          <cell r="D595">
            <v>155</v>
          </cell>
        </row>
        <row r="596">
          <cell r="A596" t="str">
            <v>001.13.00180</v>
          </cell>
          <cell r="B596" t="str">
            <v>Fornecimento e Instalação de Vidro liso fumê cinza espessura 10.00 mm</v>
          </cell>
          <cell r="C596" t="str">
            <v>m2</v>
          </cell>
          <cell r="D596">
            <v>195</v>
          </cell>
        </row>
        <row r="597">
          <cell r="A597" t="str">
            <v>001.13.00300</v>
          </cell>
          <cell r="B597" t="str">
            <v>Fornecimento e Instalação de Vidro liso incolor termperado espessura 6.00 mm</v>
          </cell>
          <cell r="C597" t="str">
            <v>m2</v>
          </cell>
          <cell r="D597">
            <v>115</v>
          </cell>
        </row>
        <row r="598">
          <cell r="A598" t="str">
            <v>001.13.00320</v>
          </cell>
          <cell r="B598" t="str">
            <v>Fornecimento e Instalação de Vidro liso incolor termperado espessura 8.00 mm</v>
          </cell>
          <cell r="C598" t="str">
            <v>m2</v>
          </cell>
          <cell r="D598">
            <v>140</v>
          </cell>
        </row>
        <row r="599">
          <cell r="A599" t="str">
            <v>001.13.00340</v>
          </cell>
          <cell r="B599" t="str">
            <v>Fornecimento e Instalação de Vidro liso incolor termperado espessura 10.00 mm</v>
          </cell>
          <cell r="C599" t="str">
            <v>m2</v>
          </cell>
          <cell r="D599">
            <v>170</v>
          </cell>
        </row>
        <row r="600">
          <cell r="A600" t="str">
            <v>001.13.00400</v>
          </cell>
          <cell r="B600" t="str">
            <v>Fornecimento e Instalação de Vidro liso cinza fumê temperado espessura 6 mm</v>
          </cell>
          <cell r="C600" t="str">
            <v>m2</v>
          </cell>
          <cell r="D600">
            <v>145</v>
          </cell>
        </row>
        <row r="601">
          <cell r="A601" t="str">
            <v>001.13.00420</v>
          </cell>
          <cell r="B601" t="str">
            <v>Fornecimento e Instalação de Vidro liso cinza fumê temperado espessura 8 mm</v>
          </cell>
          <cell r="C601" t="str">
            <v>m2</v>
          </cell>
          <cell r="D601">
            <v>190</v>
          </cell>
        </row>
        <row r="602">
          <cell r="A602" t="str">
            <v>001.13.00440</v>
          </cell>
          <cell r="B602" t="str">
            <v>Fornecimento e Instalação de Vidro liso cinza fumê temperado espessura 10 mm</v>
          </cell>
          <cell r="C602" t="str">
            <v>m2</v>
          </cell>
          <cell r="D602">
            <v>225</v>
          </cell>
        </row>
        <row r="603">
          <cell r="A603" t="str">
            <v>001.13.00500</v>
          </cell>
          <cell r="B603" t="str">
            <v>Fornecimento e Instalação de Perfil ""U"" Cavalão</v>
          </cell>
          <cell r="C603" t="str">
            <v>ml</v>
          </cell>
          <cell r="D603">
            <v>8.6859999999999999</v>
          </cell>
        </row>
        <row r="604">
          <cell r="A604" t="str">
            <v>001.13.00520</v>
          </cell>
          <cell r="B604" t="str">
            <v>Fornecimento e Instalação de Dobradiça Inferior Para Porta de Vidro</v>
          </cell>
          <cell r="C604" t="str">
            <v>un</v>
          </cell>
          <cell r="D604">
            <v>53.412599999999998</v>
          </cell>
        </row>
        <row r="605">
          <cell r="A605" t="str">
            <v>001.13.00540</v>
          </cell>
          <cell r="B605" t="str">
            <v>Fornecimento e Instalação de Dobradiça Superior Para Porta de Vidro</v>
          </cell>
          <cell r="C605" t="str">
            <v>un</v>
          </cell>
          <cell r="D605">
            <v>53.412599999999998</v>
          </cell>
        </row>
        <row r="606">
          <cell r="A606" t="str">
            <v>001.13.00560</v>
          </cell>
          <cell r="B606" t="str">
            <v>Fornecimento e Instalação de Trinco Para Piso em Porta de Vidro</v>
          </cell>
          <cell r="C606" t="str">
            <v>un</v>
          </cell>
          <cell r="D606">
            <v>62.6342</v>
          </cell>
        </row>
        <row r="607">
          <cell r="A607" t="str">
            <v>001.13.00580</v>
          </cell>
          <cell r="B607" t="str">
            <v>Fornecimento e Instalação de Fechadura e  Contra Fechadura Para Porta de Vidro</v>
          </cell>
          <cell r="C607" t="str">
            <v>cj</v>
          </cell>
          <cell r="D607">
            <v>93.412599999999998</v>
          </cell>
        </row>
        <row r="608">
          <cell r="A608" t="str">
            <v>001.13.00600</v>
          </cell>
          <cell r="B608" t="str">
            <v>Fornecimento e Instalação de Puxador de Madeira Para Porta de Vidro</v>
          </cell>
          <cell r="C608" t="str">
            <v>cj</v>
          </cell>
          <cell r="D608">
            <v>43.412599999999998</v>
          </cell>
        </row>
        <row r="609">
          <cell r="A609" t="str">
            <v>001.13.00800</v>
          </cell>
          <cell r="B609" t="str">
            <v>Fornecimento e instalação de box para banheiro em perfil de alumínio e acrílico cinza, incl.toalheiro</v>
          </cell>
          <cell r="C609" t="str">
            <v>m2</v>
          </cell>
          <cell r="D609">
            <v>86</v>
          </cell>
        </row>
        <row r="610">
          <cell r="A610" t="str">
            <v>001.13.00820</v>
          </cell>
          <cell r="B610" t="str">
            <v>Fornecimento e instalação de box para banheiro em perfil de alumínio com acrílico fumê,cristal ou ouro velho, incl. toalheiro</v>
          </cell>
          <cell r="C610" t="str">
            <v>m2</v>
          </cell>
          <cell r="D610">
            <v>86</v>
          </cell>
        </row>
        <row r="611">
          <cell r="A611" t="str">
            <v>001.14</v>
          </cell>
          <cell r="B611" t="str">
            <v>PINTURA</v>
          </cell>
          <cell r="D611">
            <v>567.21900000000005</v>
          </cell>
        </row>
        <row r="612">
          <cell r="A612" t="str">
            <v>001.14.00020</v>
          </cell>
          <cell r="B612" t="str">
            <v>Caiação em paredes e tetos à 03 demãos</v>
          </cell>
          <cell r="C612" t="str">
            <v>m2</v>
          </cell>
          <cell r="D612">
            <v>0.82599999999999996</v>
          </cell>
        </row>
        <row r="613">
          <cell r="A613" t="str">
            <v>001.14.00045</v>
          </cell>
          <cell r="B613" t="str">
            <v>Emassamento de Parede Interna ou Forro Com Massa Corrida à Base de PVA  1ª Linha com Duas Demãos</v>
          </cell>
          <cell r="C613" t="str">
            <v>m2</v>
          </cell>
          <cell r="D613">
            <v>3.2052999999999998</v>
          </cell>
        </row>
        <row r="614">
          <cell r="A614" t="str">
            <v>001.14.00047</v>
          </cell>
          <cell r="B614" t="str">
            <v>Emassamento de Parede Interna, Externa ou Forro Com Massa Corrida  Acrílica  1ª Linha com Duas Demãos</v>
          </cell>
          <cell r="C614" t="str">
            <v>m2</v>
          </cell>
          <cell r="D614">
            <v>5.8514999999999997</v>
          </cell>
        </row>
        <row r="615">
          <cell r="A615" t="str">
            <v>001.14.00048</v>
          </cell>
          <cell r="B615" t="str">
            <v>Pintura Em Selador Acrilico (1ª Linha ) Sobre Superfície Rebocada, duas demãos, aplicado a rolo de lã</v>
          </cell>
          <cell r="C615" t="str">
            <v>m2</v>
          </cell>
          <cell r="D615">
            <v>2.0775999999999999</v>
          </cell>
        </row>
        <row r="616">
          <cell r="A616" t="str">
            <v>001.14.00050</v>
          </cell>
          <cell r="B616" t="str">
            <v>Pintura Em Látex PVA (1ª Linha Renner ou Suvinil) Sobre Superfície Perfeitamente Emassada, duas demãos</v>
          </cell>
          <cell r="C616" t="str">
            <v>m2</v>
          </cell>
          <cell r="D616">
            <v>2.9777999999999998</v>
          </cell>
        </row>
        <row r="617">
          <cell r="A617" t="str">
            <v>001.14.00080</v>
          </cell>
          <cell r="B617" t="str">
            <v>Pintura Em Látex PVA (1ª Linha Renner ou Suvinil) em superfície rebocada executada como segue: limpeza e lixamento preliminar , uma demão de selador(, duas demãos de tinta de acabamento</v>
          </cell>
          <cell r="C617" t="str">
            <v>m2</v>
          </cell>
          <cell r="D617">
            <v>4.4993999999999996</v>
          </cell>
        </row>
        <row r="618">
          <cell r="A618" t="str">
            <v>001.14.00100</v>
          </cell>
          <cell r="B618" t="str">
            <v>Pintura Látex Acrílica (1ª Linha Renner ou Suvinil) Sobre Superfície Perfeitamente Emassada, duas demãos</v>
          </cell>
          <cell r="C618" t="str">
            <v>m2</v>
          </cell>
          <cell r="D618">
            <v>3.1438999999999999</v>
          </cell>
        </row>
        <row r="619">
          <cell r="A619" t="str">
            <v>001.14.00120</v>
          </cell>
          <cell r="B619" t="str">
            <v>Pintura Látex Acrílico(1ª Linha Renner ou Suvinil) em superfície rebocada executada como segue: limpeza e lixamento preliminar, uma demão de selador acrílico e duas demãos de tinta de acabamento</v>
          </cell>
          <cell r="C619" t="str">
            <v>m2</v>
          </cell>
          <cell r="D619">
            <v>4.6654999999999998</v>
          </cell>
        </row>
        <row r="620">
          <cell r="A620" t="str">
            <v>001.14.00140</v>
          </cell>
          <cell r="B620" t="str">
            <v>Textura Acrílica (1ªLinha) em Parede Externa ou Interna, incl. Aplicação de Fundo Preparador de Superfície Base Solvente</v>
          </cell>
          <cell r="C620" t="str">
            <v>m2</v>
          </cell>
          <cell r="D620">
            <v>7.2527999999999997</v>
          </cell>
        </row>
        <row r="621">
          <cell r="A621" t="str">
            <v>001.14.00180</v>
          </cell>
          <cell r="B621" t="str">
            <v>Pintura em esquadria de ferro inclusive lixamento uma demão de zarcão, correções de imperfeições e 02 demãos de tinta base de grafite</v>
          </cell>
          <cell r="C621" t="str">
            <v>M2</v>
          </cell>
          <cell r="D621">
            <v>11.182399999999999</v>
          </cell>
        </row>
        <row r="622">
          <cell r="A622" t="str">
            <v>001.14.00200</v>
          </cell>
          <cell r="B622" t="str">
            <v>Pintura em esquadria de ferro inclusive lixamento uma demão de zarcão, correções de imperfeições e 02 demãos de tinta base de esmalte</v>
          </cell>
          <cell r="C622" t="str">
            <v>M2</v>
          </cell>
          <cell r="D622">
            <v>10.8704</v>
          </cell>
        </row>
        <row r="623">
          <cell r="A623" t="str">
            <v>001.14.00220</v>
          </cell>
          <cell r="B623" t="str">
            <v>Pintura em esquadria de ferro inclusive lixamento uma demão de zarcão, correções de imperfeições e 02 demãos de tinta base de alimínio</v>
          </cell>
          <cell r="C623" t="str">
            <v>M2</v>
          </cell>
          <cell r="D623">
            <v>10.8704</v>
          </cell>
        </row>
        <row r="624">
          <cell r="A624" t="str">
            <v>001.14.00240</v>
          </cell>
          <cell r="B624" t="str">
            <v>Pintura em esquadria de ferro inclusive lixamento uma demão de zarcão, correções de imperfeições e 02 demãos de tinta base de óleo</v>
          </cell>
          <cell r="C624" t="str">
            <v>M2</v>
          </cell>
          <cell r="D624">
            <v>10.8704</v>
          </cell>
        </row>
        <row r="625">
          <cell r="A625" t="str">
            <v>001.14.00260</v>
          </cell>
          <cell r="B625" t="str">
            <v>Pintura a esmalte em esquadrias de madeira com massa corrida</v>
          </cell>
          <cell r="C625" t="str">
            <v>M2</v>
          </cell>
          <cell r="D625">
            <v>12.101699999999999</v>
          </cell>
        </row>
        <row r="626">
          <cell r="A626" t="str">
            <v>001.14.00280</v>
          </cell>
          <cell r="B626" t="str">
            <v>Pintura a esmalte em esquadria de madeira sem massa corrida aplicada a 2 ou 3 demãos após os lixamentos preliminares</v>
          </cell>
          <cell r="C626" t="str">
            <v>M2</v>
          </cell>
          <cell r="D626">
            <v>8.1027000000000005</v>
          </cell>
        </row>
        <row r="627">
          <cell r="A627" t="str">
            <v>001.14.00300</v>
          </cell>
          <cell r="B627" t="str">
            <v>Pintura a esmalte com massa corrida em rodpés de madeira à 3 demãos aos após lixamento preliminar</v>
          </cell>
          <cell r="C627" t="str">
            <v>ML</v>
          </cell>
          <cell r="D627">
            <v>2.4598</v>
          </cell>
        </row>
        <row r="628">
          <cell r="A628" t="str">
            <v>001.14.00320</v>
          </cell>
          <cell r="B628" t="str">
            <v>Pintura à esmalte em forro de madeira à duas demãos em superfície lixada aparelhada e amassada</v>
          </cell>
          <cell r="C628" t="str">
            <v>M2</v>
          </cell>
          <cell r="D628">
            <v>11.655099999999999</v>
          </cell>
        </row>
        <row r="629">
          <cell r="A629" t="str">
            <v>001.14.00340</v>
          </cell>
          <cell r="B629" t="str">
            <v>Pintura em estrutura metálica com grafite incl. limpeza com escova de aço e duas demãos de zarcão</v>
          </cell>
          <cell r="C629" t="str">
            <v>M2</v>
          </cell>
          <cell r="D629">
            <v>5.1429</v>
          </cell>
        </row>
        <row r="630">
          <cell r="A630" t="str">
            <v>001.14.00360</v>
          </cell>
          <cell r="B630" t="str">
            <v>Pintura em estrutura metálica com alumínio incl. limpeza com escova de aço e duas demãos de zarcão</v>
          </cell>
          <cell r="C630" t="str">
            <v>M2</v>
          </cell>
          <cell r="D630">
            <v>5.1429</v>
          </cell>
        </row>
        <row r="631">
          <cell r="A631" t="str">
            <v>001.14.00380</v>
          </cell>
          <cell r="B631" t="str">
            <v>Pintura em estrutura metálica com esmalte incl. limpeza com escova de aço e duas demãos de zarcão</v>
          </cell>
          <cell r="C631" t="str">
            <v>M2</v>
          </cell>
          <cell r="D631">
            <v>5.1429</v>
          </cell>
        </row>
        <row r="632">
          <cell r="A632" t="str">
            <v>001.14.00400</v>
          </cell>
          <cell r="B632" t="str">
            <v>Pintura em cobertura metálica zincada inclusive limpeza das superfícies (interna e externa) na face interna.uma demão de tinta base (cromato de zinco) e duas demãos de tinta de acabamento de base sintética,</v>
          </cell>
          <cell r="C632" t="str">
            <v>M2</v>
          </cell>
          <cell r="D632">
            <v>6.2830000000000004</v>
          </cell>
        </row>
        <row r="633">
          <cell r="A633" t="str">
            <v>001.14.00420</v>
          </cell>
          <cell r="B633" t="str">
            <v>Pintura em cobertura metálica zincada inclusive limpeza das superfícies (interna e externa) na face externa aplicação de emulsão asfáltica a frio na espessura aproximadamente de 1.00 mm, uma demão de acabamento com tinta base de asfalto</v>
          </cell>
          <cell r="C633" t="str">
            <v>M2</v>
          </cell>
          <cell r="D633">
            <v>13.9017</v>
          </cell>
        </row>
        <row r="634">
          <cell r="A634" t="str">
            <v>001.14.00500</v>
          </cell>
          <cell r="B634" t="str">
            <v>Pintura em paredes internas com esmalte incl 02 demaos de massa corrida pva</v>
          </cell>
          <cell r="C634" t="str">
            <v>m2</v>
          </cell>
          <cell r="D634">
            <v>9.0042000000000009</v>
          </cell>
        </row>
        <row r="635">
          <cell r="A635" t="str">
            <v>001.14.00520</v>
          </cell>
          <cell r="B635" t="str">
            <v>Pintura em paredes internas com esmalte e com retoque de  massa corrida</v>
          </cell>
          <cell r="C635" t="str">
            <v>m2</v>
          </cell>
          <cell r="D635">
            <v>6.5228000000000002</v>
          </cell>
        </row>
        <row r="636">
          <cell r="A636" t="str">
            <v>001.14.00540</v>
          </cell>
          <cell r="B636" t="str">
            <v>Pintura interan a óleo em paredes com massa corrida executada da seguinte forma: lixamento preliminar a seco com lixa n.1 e limpeza do pó resultante, aparelhamento com 01 demão de líquido base (impermeabilizante) aplicado a trincha ou pincel</v>
          </cell>
          <cell r="C636" t="str">
            <v>M2</v>
          </cell>
          <cell r="D636">
            <v>12.253399999999999</v>
          </cell>
        </row>
        <row r="637">
          <cell r="A637" t="str">
            <v>001.14.00560</v>
          </cell>
          <cell r="B637" t="str">
            <v>Pintura à óleo em paredes internas, duas demãos, sem massa corrida executada da seguinte forma: lixamento preliminar a seco com lixa n.1 e limpeza do pó resultante - aparelhamento 01 demão com líquidobase (impermeabilizante) - 02 ou 03 demãos</v>
          </cell>
          <cell r="C637" t="str">
            <v>M2</v>
          </cell>
          <cell r="D637">
            <v>6.5228000000000002</v>
          </cell>
        </row>
        <row r="638">
          <cell r="A638" t="str">
            <v>001.14.00580</v>
          </cell>
          <cell r="B638" t="str">
            <v>Pintura a óleo em esquadrias de madeira c/massa corrida</v>
          </cell>
          <cell r="C638" t="str">
            <v>M2</v>
          </cell>
          <cell r="D638">
            <v>10.767300000000001</v>
          </cell>
        </row>
        <row r="639">
          <cell r="A639" t="str">
            <v>001.14.00600</v>
          </cell>
          <cell r="B639" t="str">
            <v>Pintura em porta de madeira com tinta a óleo renner ou similar</v>
          </cell>
          <cell r="C639" t="str">
            <v>M2</v>
          </cell>
          <cell r="D639">
            <v>7.2358000000000002</v>
          </cell>
        </row>
        <row r="640">
          <cell r="A640" t="str">
            <v>001.14.00620</v>
          </cell>
          <cell r="B640" t="str">
            <v>Pintura à óleo em rodapés de madeira à duas demãos após lixamento preliminar com retoques de massa para vedação de juntas, orifícios e outros defeitos</v>
          </cell>
          <cell r="C640" t="str">
            <v>ML</v>
          </cell>
          <cell r="D640">
            <v>1.4215</v>
          </cell>
        </row>
        <row r="641">
          <cell r="A641" t="str">
            <v>001.14.00640</v>
          </cell>
          <cell r="B641" t="str">
            <v>Pintura externa à óleo em madeira (portões, cerca, etc) à 03 demãos s/ aparelhamento e emassamento prévio</v>
          </cell>
          <cell r="C641" t="str">
            <v>M2</v>
          </cell>
          <cell r="D641">
            <v>7.2100999999999997</v>
          </cell>
        </row>
        <row r="642">
          <cell r="A642" t="str">
            <v>001.14.00660</v>
          </cell>
          <cell r="B642" t="str">
            <v>Pintura à óleo em madeiramento aparente (galpões, passadiços e beirais) a 3 demãos sem aparelhamento e emassamento prévio</v>
          </cell>
          <cell r="C642" t="str">
            <v>M2</v>
          </cell>
          <cell r="D642">
            <v>5.1166</v>
          </cell>
        </row>
        <row r="643">
          <cell r="A643" t="str">
            <v>001.14.00680</v>
          </cell>
          <cell r="B643" t="str">
            <v>Pintura externa c/ verniz plástico a base de poliuretano (verniz de barco) aplicado à 3 demãos sobre esquadrias e peça de madeira expostas ao tempo convenientemente intercalado entre as demãos</v>
          </cell>
          <cell r="C643" t="str">
            <v>M2</v>
          </cell>
          <cell r="D643">
            <v>6.3780999999999999</v>
          </cell>
        </row>
        <row r="644">
          <cell r="A644" t="str">
            <v>001.14.00700</v>
          </cell>
          <cell r="B644" t="str">
            <v>Pintura envernizamento de alvenaria aparente inclusive a preparação da superfície em 02 demãos</v>
          </cell>
          <cell r="C644" t="str">
            <v>M2</v>
          </cell>
          <cell r="D644">
            <v>6.2975000000000003</v>
          </cell>
        </row>
        <row r="645">
          <cell r="A645" t="str">
            <v>001.14.00720</v>
          </cell>
          <cell r="B645" t="str">
            <v>Pintura com verniz acrílico sobre paredes de concreto aplicado à duas demãos</v>
          </cell>
          <cell r="C645" t="str">
            <v>M2</v>
          </cell>
          <cell r="D645">
            <v>4.5688000000000004</v>
          </cell>
        </row>
        <row r="646">
          <cell r="A646" t="str">
            <v>001.14.00740</v>
          </cell>
          <cell r="B646" t="str">
            <v>Envernizamento interno em esquadrias ou forro de madeira executador da seguinte forma:lixamento e limpeza preliminar, correção de defeitos com massa incolor seguido de lixamento, duas demãos de verniz de  aparelho e lixamento e 02 demãos de verniz</v>
          </cell>
          <cell r="C646" t="str">
            <v>m2</v>
          </cell>
          <cell r="D646">
            <v>6.9675000000000002</v>
          </cell>
        </row>
        <row r="647">
          <cell r="A647" t="str">
            <v>001.14.00780</v>
          </cell>
          <cell r="B647" t="str">
            <v>Pintura - envernizamento de rodapés de madeira lixada e aparelhada com retoque de massa para correção de juntas e orifícios, verniz e acabamento aplicado em duas demãos a pincel</v>
          </cell>
          <cell r="C647" t="str">
            <v>M2</v>
          </cell>
          <cell r="D647">
            <v>1.3131999999999999</v>
          </cell>
        </row>
        <row r="648">
          <cell r="A648" t="str">
            <v>001.14.00800</v>
          </cell>
          <cell r="B648" t="str">
            <v>Pintura - envernizamento de rodapés de madeira lixada e aparelhada com retoque de massa para correção de juntas e orifícios, verniz e acabamento aplicado em duas demãos a boneca</v>
          </cell>
          <cell r="C648" t="str">
            <v>M2</v>
          </cell>
          <cell r="D648">
            <v>1.4215</v>
          </cell>
        </row>
        <row r="649">
          <cell r="A649" t="str">
            <v>001.14.00820</v>
          </cell>
          <cell r="B649" t="str">
            <v>Enceramento de madeira à boneca (portas, lambris, painéis  divisões) recomendada apenas para madeiras nobres como imbuia, caviúna, perobinha do campo, jacarandá, etc. e executado como segue: limpeza e lixamento preliminar, obturação de orifíc</v>
          </cell>
          <cell r="C649" t="str">
            <v>M2</v>
          </cell>
          <cell r="D649">
            <v>6.3494999999999999</v>
          </cell>
        </row>
        <row r="650">
          <cell r="A650" t="str">
            <v>001.14.00840</v>
          </cell>
          <cell r="B650" t="str">
            <v>Pintura externa em madeira aparente c/ líquido imunizante aplicado à brocha, pistola ou por imersão de acordo com as especificações  do fabricante</v>
          </cell>
          <cell r="C650" t="str">
            <v>M2</v>
          </cell>
          <cell r="D650">
            <v>1.6244000000000001</v>
          </cell>
        </row>
        <row r="651">
          <cell r="A651" t="str">
            <v>001.14.00860</v>
          </cell>
          <cell r="B651" t="str">
            <v>Pintura c/nata de cimento</v>
          </cell>
          <cell r="C651" t="str">
            <v>M2</v>
          </cell>
          <cell r="D651">
            <v>1.9872000000000001</v>
          </cell>
        </row>
        <row r="652">
          <cell r="A652" t="str">
            <v>001.14.00880</v>
          </cell>
          <cell r="B652" t="str">
            <v>Pintura novacor piso</v>
          </cell>
          <cell r="C652" t="str">
            <v>M2</v>
          </cell>
          <cell r="D652">
            <v>3.8085</v>
          </cell>
        </row>
        <row r="653">
          <cell r="A653" t="str">
            <v>001.14.00885</v>
          </cell>
          <cell r="B653" t="str">
            <v>Pintura de marcação da quadra de esportes c/tinta especial (conf.especificação da cbd) inclusive preparo da superfície (larg. 5.00 cm)</v>
          </cell>
          <cell r="C653" t="str">
            <v>ml</v>
          </cell>
          <cell r="D653">
            <v>4.2210000000000001</v>
          </cell>
        </row>
        <row r="654">
          <cell r="A654" t="str">
            <v>001.14.00890</v>
          </cell>
          <cell r="B654" t="str">
            <v>Pintura de marcação do campo de futebol a cal inclusive preparação do terreno largura 10 cm (conf. especif.do dop)</v>
          </cell>
          <cell r="C654" t="str">
            <v>ml</v>
          </cell>
          <cell r="D654">
            <v>3.1065</v>
          </cell>
        </row>
        <row r="655">
          <cell r="A655" t="str">
            <v>001.14.00895</v>
          </cell>
          <cell r="B655" t="str">
            <v>Demarcação de faixa com tinta acrílica especial - largura 10.00 cm</v>
          </cell>
          <cell r="C655" t="str">
            <v>ml</v>
          </cell>
          <cell r="D655">
            <v>5.4360999999999997</v>
          </cell>
        </row>
        <row r="656">
          <cell r="A656" t="str">
            <v>001.14.00900</v>
          </cell>
          <cell r="B656" t="str">
            <v>Resina aplicada a duas demaos em pisos diversos</v>
          </cell>
          <cell r="C656" t="str">
            <v>M2</v>
          </cell>
          <cell r="D656">
            <v>1.9628000000000001</v>
          </cell>
        </row>
        <row r="657">
          <cell r="A657" t="str">
            <v>001.14.00920</v>
          </cell>
          <cell r="B657" t="str">
            <v>Raspagem, lixamento e aplicacao de sinteco fosco e semi-fosco</v>
          </cell>
          <cell r="C657" t="str">
            <v>M2</v>
          </cell>
          <cell r="D657">
            <v>6.0039999999999996</v>
          </cell>
        </row>
        <row r="658">
          <cell r="A658" t="str">
            <v>001.14.00940</v>
          </cell>
          <cell r="B658" t="str">
            <v>Pintura em concreto aparente com silicone aplicado a duas demãos</v>
          </cell>
          <cell r="C658" t="str">
            <v>m2</v>
          </cell>
          <cell r="D658">
            <v>5.9654999999999996</v>
          </cell>
        </row>
        <row r="659">
          <cell r="A659" t="str">
            <v>001.14.00960</v>
          </cell>
          <cell r="B659" t="str">
            <v>Pintura do nome do estado e da atividade</v>
          </cell>
          <cell r="C659" t="str">
            <v>UN</v>
          </cell>
          <cell r="D659">
            <v>188.68</v>
          </cell>
        </row>
        <row r="660">
          <cell r="A660" t="str">
            <v>001.14.00990</v>
          </cell>
          <cell r="B660" t="str">
            <v>Pintura Epóxi em Piso a Duas Demãos Sobre Superfície Rebocada, incl Limpeza da superfície</v>
          </cell>
          <cell r="C660" t="str">
            <v>m2</v>
          </cell>
          <cell r="D660">
            <v>9.5902999999999992</v>
          </cell>
        </row>
        <row r="661">
          <cell r="A661" t="str">
            <v>001.14.00995</v>
          </cell>
          <cell r="B661" t="str">
            <v>Pintura Epóxi em Piscina ou Área Molhada à Duas Demãos Sobre Superfície Rebocada, incl preparação da superfície</v>
          </cell>
          <cell r="C661" t="str">
            <v>m2</v>
          </cell>
          <cell r="D661">
            <v>11.5015</v>
          </cell>
        </row>
        <row r="662">
          <cell r="A662" t="str">
            <v>001.14.00996</v>
          </cell>
          <cell r="B662" t="str">
            <v>Demarcação de Faixa Com Tinta Epóxi em Pisos, à Duas Demãos, Incl. Preparo da Superfície</v>
          </cell>
          <cell r="C662" t="str">
            <v>ml</v>
          </cell>
          <cell r="D662">
            <v>4.1375999999999999</v>
          </cell>
        </row>
        <row r="663">
          <cell r="A663" t="str">
            <v>001.14.00997</v>
          </cell>
          <cell r="B663" t="str">
            <v>Demarcação de Faixa Com Tinta Epóxi em Piscinas ou Áreas Molhadas, à Duas Demãos, Incl. Preparo da Superfície</v>
          </cell>
          <cell r="C663" t="str">
            <v>ml</v>
          </cell>
          <cell r="D663">
            <v>4.1375999999999999</v>
          </cell>
        </row>
        <row r="664">
          <cell r="A664" t="str">
            <v>001.14.01020</v>
          </cell>
          <cell r="B664" t="str">
            <v>Pintura de conservação de parede ou teto sem retoque de massa,com látex pva(1ª Linha Renner ou Suvinil) à uma demão, incl. aplicação fundo preparador base solvente</v>
          </cell>
          <cell r="C664" t="str">
            <v>m2</v>
          </cell>
          <cell r="D664">
            <v>3.2517999999999998</v>
          </cell>
        </row>
        <row r="665">
          <cell r="A665" t="str">
            <v>001.14.01040</v>
          </cell>
          <cell r="B665" t="str">
            <v>Pintura de conservação de parede ou teto sem retoque de massa,com látex pva(1ª Linha Renner ou Suvinil)  a duas demãos, incl.  aplicação fundo preparador base solvente</v>
          </cell>
          <cell r="C665" t="str">
            <v>m2</v>
          </cell>
          <cell r="D665">
            <v>4.0791000000000004</v>
          </cell>
        </row>
        <row r="666">
          <cell r="A666" t="str">
            <v>001.14.01060</v>
          </cell>
          <cell r="B666" t="str">
            <v>Pintura de conservação de parede ou teto sem retoque de massa,com tinta a oleo  à uma demão, incl. aplicação fundo preparador base solvente</v>
          </cell>
          <cell r="C666" t="str">
            <v>m2</v>
          </cell>
          <cell r="D666">
            <v>3.8188</v>
          </cell>
        </row>
        <row r="667">
          <cell r="A667" t="str">
            <v>001.14.01080</v>
          </cell>
          <cell r="B667" t="str">
            <v>Pintura de conservação de parede ou teto sem retoque de massa,com tinta a oleo a duas demãos, incl. aplicação fundo preparador base solvente</v>
          </cell>
          <cell r="C667" t="str">
            <v>m2</v>
          </cell>
          <cell r="D667">
            <v>5.5712000000000002</v>
          </cell>
        </row>
        <row r="668">
          <cell r="A668" t="str">
            <v>001.14.01100</v>
          </cell>
          <cell r="B668" t="str">
            <v>Pintura de conservação de parede ou teto sem retoque de massa,com tinta látex acrilico(1ª Linha Renner ou Suvinil) à uma demão, incl. aplicação fundo preparador base solvente</v>
          </cell>
          <cell r="C668" t="str">
            <v>m2</v>
          </cell>
          <cell r="D668">
            <v>3.3854000000000002</v>
          </cell>
        </row>
        <row r="669">
          <cell r="A669" t="str">
            <v>001.14.01120</v>
          </cell>
          <cell r="B669" t="str">
            <v>Pintura de conservação de parede ou teto sem retoque de massa,com tinta látex acrilico(1ª Linha Renner ou Suvinil) a duas demãos, incl. aplicação fundo preparador base solvente</v>
          </cell>
          <cell r="C669" t="str">
            <v>m2</v>
          </cell>
          <cell r="D669">
            <v>4.2451999999999996</v>
          </cell>
        </row>
        <row r="670">
          <cell r="A670" t="str">
            <v>001.14.01140</v>
          </cell>
          <cell r="B670" t="str">
            <v>Pintura de conservação em parede ou teto com retoque de massa, com látex pva(1ª Linha Renner ou Suvinil)  à duas demãos, incl. aplicação fundo preparador base solvente</v>
          </cell>
          <cell r="C670" t="str">
            <v>m2</v>
          </cell>
          <cell r="D670">
            <v>5.0374999999999996</v>
          </cell>
        </row>
        <row r="671">
          <cell r="A671" t="str">
            <v>001.14.01160</v>
          </cell>
          <cell r="B671" t="str">
            <v>Pintura de conservação em parede ou teto com retoque de massa, com tinta a óleo  à duas demãos incl. aplicação fundo preparador base solvente</v>
          </cell>
          <cell r="C671" t="str">
            <v>m2</v>
          </cell>
          <cell r="D671">
            <v>6.0312000000000001</v>
          </cell>
        </row>
        <row r="672">
          <cell r="A672" t="str">
            <v>001.14.01180</v>
          </cell>
          <cell r="B672" t="str">
            <v>Pintura de conservação em parede ou teto com retoque de massa, com tinta latéx acrilílico(1ª Linha Renner ou Suvinil) à duas demãos, incl. aplicação fundo preparador base solvente</v>
          </cell>
          <cell r="C672" t="str">
            <v>m2</v>
          </cell>
          <cell r="D672">
            <v>5.2035999999999998</v>
          </cell>
        </row>
        <row r="673">
          <cell r="A673" t="str">
            <v>001.14.01200</v>
          </cell>
          <cell r="B673" t="str">
            <v>Pintura de conservação em esquadria metálica com tinta a oleo à uma demão com retoque da pintura de base (zarcão ou grafite)</v>
          </cell>
          <cell r="C673" t="str">
            <v>M2</v>
          </cell>
          <cell r="D673">
            <v>3.3538000000000001</v>
          </cell>
        </row>
        <row r="674">
          <cell r="A674" t="str">
            <v>001.14.01220</v>
          </cell>
          <cell r="B674" t="str">
            <v>Pintura de conservação em esquadria metálica com tinta a oleo a duas demãos com retoque da pintura de base (zarcão ou grafite)</v>
          </cell>
          <cell r="C674" t="str">
            <v>M2</v>
          </cell>
          <cell r="D674">
            <v>5.1830999999999996</v>
          </cell>
        </row>
        <row r="675">
          <cell r="A675" t="str">
            <v>001.14.01240</v>
          </cell>
          <cell r="B675" t="str">
            <v>Pintura de conservação em esquadria metálica com tinta grafite à uma demão com retoque da pintura de base (zarcão ou grafite)</v>
          </cell>
          <cell r="C675" t="str">
            <v>M2</v>
          </cell>
          <cell r="D675">
            <v>3.5670000000000002</v>
          </cell>
        </row>
        <row r="676">
          <cell r="A676" t="str">
            <v>001.14.01260</v>
          </cell>
          <cell r="B676" t="str">
            <v>Pintura de conservação em esquadria metálica com tinta grafite a duas demãos com retoque da pintura de base (zarcão ou grafite)</v>
          </cell>
          <cell r="C676" t="str">
            <v>M2</v>
          </cell>
          <cell r="D676">
            <v>5.5922999999999998</v>
          </cell>
        </row>
        <row r="677">
          <cell r="A677" t="str">
            <v>001.14.01280</v>
          </cell>
          <cell r="B677" t="str">
            <v>Pintura de conservação em esquadria metálica com tinta esmalte à uma demão com retoque da pintura de base (zarcão ou grafite)</v>
          </cell>
          <cell r="C677" t="str">
            <v>M2</v>
          </cell>
          <cell r="D677">
            <v>3.5670000000000002</v>
          </cell>
        </row>
        <row r="678">
          <cell r="A678" t="str">
            <v>001.14.01300</v>
          </cell>
          <cell r="B678" t="str">
            <v>Pintura de conservação em esquadria metálica com tinta esmalte a duas demãos com retoque da pintura de base (zarcão ou grafite)</v>
          </cell>
          <cell r="C678" t="str">
            <v>M2</v>
          </cell>
          <cell r="D678">
            <v>5.5922999999999998</v>
          </cell>
        </row>
        <row r="679">
          <cell r="A679" t="str">
            <v>001.15</v>
          </cell>
          <cell r="B679" t="str">
            <v>SERVIÇOS COMPLEMENTARES</v>
          </cell>
          <cell r="D679">
            <v>12847.773999999999</v>
          </cell>
        </row>
        <row r="680">
          <cell r="A680" t="str">
            <v>001.15.00020</v>
          </cell>
          <cell r="B680" t="str">
            <v>Fornecimento de quadro negro conforme detalhe do dop de 4.00x1.20m executado na obra. após chapisco prévio será executado o emboço com argamassa 1:4:8 e reboco com argamassa 1:2 ;12 de granulação fina com superfície cuidadosamente desempenada. pintura p</v>
          </cell>
          <cell r="C680" t="str">
            <v>UN</v>
          </cell>
          <cell r="D680">
            <v>118.06019999999999</v>
          </cell>
        </row>
        <row r="681">
          <cell r="A681" t="str">
            <v>001.15.00040</v>
          </cell>
          <cell r="B681" t="str">
            <v>Fornecimento de quadro negro conforme detalhe do dop de 4.00x1.20 m executado na obra, a 80 cm do piso acabado. após chapisco prévio será executado o emboço 1:4:8 e reboco com argamassa 1:4:12 de granulação fina com a superfície cuidadosamente desempena</v>
          </cell>
          <cell r="C681" t="str">
            <v>UN</v>
          </cell>
          <cell r="D681">
            <v>110.9093</v>
          </cell>
        </row>
        <row r="682">
          <cell r="A682" t="str">
            <v>001.15.00060</v>
          </cell>
          <cell r="B682" t="str">
            <v>Recuperação de quadro negro com retoque de massa (base de óleo) lixamento e polimento com lixa de água e pintura com duas demãos de tinta verde opaca especial</v>
          </cell>
          <cell r="C682" t="str">
            <v>UN</v>
          </cell>
          <cell r="D682">
            <v>52.200299999999999</v>
          </cell>
        </row>
        <row r="683">
          <cell r="A683" t="str">
            <v>001.15.00080</v>
          </cell>
          <cell r="B683" t="str">
            <v>Fornecimento e instalação de quadro negro de madeira compensada 6 mm de espessura incl.moldura e porta giz</v>
          </cell>
          <cell r="C683" t="str">
            <v>M2</v>
          </cell>
          <cell r="D683">
            <v>39.831699999999998</v>
          </cell>
        </row>
        <row r="684">
          <cell r="A684" t="str">
            <v>001.15.00100</v>
          </cell>
          <cell r="B684" t="str">
            <v>Fornecimento e instalação de porta giz de madeira c/guarnição</v>
          </cell>
          <cell r="C684" t="str">
            <v>ML</v>
          </cell>
          <cell r="D684">
            <v>3.6802000000000001</v>
          </cell>
        </row>
        <row r="685">
          <cell r="A685" t="str">
            <v>001.15.00120</v>
          </cell>
          <cell r="B685" t="str">
            <v>Fornecimento e instalação de placa de inauguração para grupo escolar (25.00x40.00) cm</v>
          </cell>
          <cell r="C685" t="str">
            <v>UN</v>
          </cell>
          <cell r="D685">
            <v>154.75360000000001</v>
          </cell>
        </row>
        <row r="686">
          <cell r="A686" t="str">
            <v>001.15.00140</v>
          </cell>
          <cell r="B686" t="str">
            <v>Fornecimento e instalação de placa de inauguração para cadeias públicas (36.50x47.00) cm</v>
          </cell>
          <cell r="C686" t="str">
            <v>UN</v>
          </cell>
          <cell r="D686">
            <v>204.75360000000001</v>
          </cell>
        </row>
        <row r="687">
          <cell r="A687" t="str">
            <v>001.15.00160</v>
          </cell>
          <cell r="B687" t="str">
            <v>Fornecimento e instalação de placa de inauguração p/ escritório regional urbano da prodeagro - 25x40cm</v>
          </cell>
          <cell r="C687" t="str">
            <v>UN</v>
          </cell>
          <cell r="D687">
            <v>1354.7536</v>
          </cell>
        </row>
        <row r="688">
          <cell r="A688" t="str">
            <v>001.15.00180</v>
          </cell>
          <cell r="B688" t="str">
            <v>Fornecimento e instalação de placa de inauguração em alumínio fundido 65.00x75.00cm</v>
          </cell>
          <cell r="C688" t="str">
            <v>UN</v>
          </cell>
          <cell r="D688">
            <v>403.83240000000001</v>
          </cell>
        </row>
        <row r="689">
          <cell r="A689" t="str">
            <v>001.15.00220</v>
          </cell>
          <cell r="B689" t="str">
            <v>Fornecimento e instalação de mastro p/bandeira em poste cônico inclusive pintura e pertences altura livre 5.00 m</v>
          </cell>
          <cell r="C689" t="str">
            <v>UN</v>
          </cell>
          <cell r="D689">
            <v>202.20920000000001</v>
          </cell>
        </row>
        <row r="690">
          <cell r="A690" t="str">
            <v>001.15.00240</v>
          </cell>
          <cell r="B690" t="str">
            <v>Fornecimento e instalação de mastro p/bandeira em cano galvanizado diâmetro 3 pol inclusive pintura e pertences altura livre 5 m</v>
          </cell>
          <cell r="C690" t="str">
            <v>UN</v>
          </cell>
          <cell r="D690">
            <v>371.83190000000002</v>
          </cell>
        </row>
        <row r="691">
          <cell r="A691" t="str">
            <v>001.15.00260</v>
          </cell>
          <cell r="B691" t="str">
            <v>Fornecimento e instalação de mastro p/bandeira constituído de 3 postes de cano galvanizado diâmetro 3 pol conforme detalhe do dop</v>
          </cell>
          <cell r="C691" t="str">
            <v>CJ</v>
          </cell>
          <cell r="D691">
            <v>1926.1723</v>
          </cell>
        </row>
        <row r="692">
          <cell r="A692" t="str">
            <v>001.15.00280</v>
          </cell>
          <cell r="B692" t="str">
            <v>Fornecimento e instalação de trave p/futebol de salão incluindo pintura, rede de nylon conforme detalhe dop</v>
          </cell>
          <cell r="C692" t="str">
            <v>CJ</v>
          </cell>
          <cell r="D692">
            <v>733.02239999999995</v>
          </cell>
        </row>
        <row r="693">
          <cell r="A693" t="str">
            <v>001.15.00320</v>
          </cell>
          <cell r="B693" t="str">
            <v>Fornecimento e instalação de suporte p/tabela de basquete em treliçado inclusive pilares de concreto armado (aparente), fundação, pintura (treliças) conforme det. do dop</v>
          </cell>
          <cell r="C693" t="str">
            <v>UN</v>
          </cell>
          <cell r="D693">
            <v>2321.2620000000002</v>
          </cell>
        </row>
        <row r="694">
          <cell r="A694" t="str">
            <v>001.15.00360</v>
          </cell>
          <cell r="B694" t="str">
            <v>Fornecimento e instalação de suporte p/voley em cano galvanizado diâmetro 3 pol inclusive pintura dos mastros, catraca, rede e demais pertences ( 02 postes)</v>
          </cell>
          <cell r="C694" t="str">
            <v>CJ</v>
          </cell>
          <cell r="D694">
            <v>454.94439999999997</v>
          </cell>
        </row>
        <row r="695">
          <cell r="A695" t="str">
            <v>001.15.00370</v>
          </cell>
          <cell r="B695" t="str">
            <v>Execução de Arquibancada Com 03 degraus em Estrutura Mista de Concreto Armado e Alvenaria, Conf. Det. SINFRA</v>
          </cell>
          <cell r="C695" t="str">
            <v>ml</v>
          </cell>
          <cell r="D695">
            <v>1287.9147</v>
          </cell>
        </row>
        <row r="696">
          <cell r="A696" t="str">
            <v>001.15.00720</v>
          </cell>
          <cell r="B696" t="str">
            <v>Fornecimento e instalação de bancada seca em ardósia polida  1.50 x 0.80</v>
          </cell>
          <cell r="C696" t="str">
            <v>UN</v>
          </cell>
          <cell r="D696">
            <v>180.38390000000001</v>
          </cell>
        </row>
        <row r="697">
          <cell r="A697" t="str">
            <v>001.15.00760</v>
          </cell>
          <cell r="B697" t="str">
            <v>Fornecimento e instalação de bancada seca em granito polido</v>
          </cell>
          <cell r="C697" t="str">
            <v>M2</v>
          </cell>
          <cell r="D697">
            <v>213.06979999999999</v>
          </cell>
        </row>
        <row r="698">
          <cell r="A698" t="str">
            <v>001.15.00860</v>
          </cell>
          <cell r="B698" t="str">
            <v>Fornecimento e assentamento de revestimento externo com retalhos de pedra de mao</v>
          </cell>
          <cell r="C698" t="str">
            <v>M2</v>
          </cell>
          <cell r="D698">
            <v>10.0808</v>
          </cell>
        </row>
        <row r="699">
          <cell r="A699" t="str">
            <v>001.15.00940</v>
          </cell>
          <cell r="B699" t="str">
            <v>Fornecimento e instalação de armário sob pia em fórmica</v>
          </cell>
          <cell r="C699" t="str">
            <v>M2</v>
          </cell>
          <cell r="D699">
            <v>225</v>
          </cell>
        </row>
        <row r="700">
          <cell r="A700" t="str">
            <v>001.15.00960</v>
          </cell>
          <cell r="B700" t="str">
            <v>Fornecimento e instalação de armário em madeira aparente aparelhada e tratada</v>
          </cell>
          <cell r="C700" t="str">
            <v>M2</v>
          </cell>
          <cell r="D700">
            <v>114.4205</v>
          </cell>
        </row>
        <row r="701">
          <cell r="A701" t="str">
            <v>001.15.00980</v>
          </cell>
          <cell r="B701" t="str">
            <v>Fornecimento e instalação de armário em alvenaria com prateleiras de madeira aparelhada (2,40x0,60x3,00)m</v>
          </cell>
          <cell r="C701" t="str">
            <v>UN</v>
          </cell>
          <cell r="D701">
            <v>287.95139999999998</v>
          </cell>
        </row>
        <row r="702">
          <cell r="A702" t="str">
            <v>001.15.01000</v>
          </cell>
          <cell r="B702" t="str">
            <v>Fornecimento e instalação de balcão de madeira conf. projeto 12.20 x 0.60 x 1.00 m</v>
          </cell>
          <cell r="C702" t="str">
            <v>UN</v>
          </cell>
          <cell r="D702">
            <v>969.9</v>
          </cell>
        </row>
        <row r="703">
          <cell r="A703" t="str">
            <v>001.15.01080</v>
          </cell>
          <cell r="B703" t="str">
            <v>Fornecimento e instalação de exaustor elétrico com d=50cm 1cv</v>
          </cell>
          <cell r="C703" t="str">
            <v>UN</v>
          </cell>
          <cell r="D703">
            <v>161.83240000000001</v>
          </cell>
        </row>
        <row r="704">
          <cell r="A704" t="str">
            <v>001.15.01140</v>
          </cell>
          <cell r="B704" t="str">
            <v>Fornecimento e instalação de mola p/ porta tipo vai-vem</v>
          </cell>
          <cell r="C704" t="str">
            <v>UN</v>
          </cell>
          <cell r="D704">
            <v>33.307000000000002</v>
          </cell>
        </row>
        <row r="705">
          <cell r="A705" t="str">
            <v>001.15.01220</v>
          </cell>
          <cell r="B705" t="str">
            <v>Fornecimento e instalação  de banca ou tampo de ardósia natural cor preta tipo on c/ resinex</v>
          </cell>
          <cell r="C705" t="str">
            <v>M2</v>
          </cell>
          <cell r="D705">
            <v>109.943</v>
          </cell>
        </row>
        <row r="706">
          <cell r="A706" t="str">
            <v>001.15.01240</v>
          </cell>
          <cell r="B706" t="str">
            <v>Fornecimento e instalação de banca ou tampo em ardósia polida esp. 3cm</v>
          </cell>
          <cell r="C706" t="str">
            <v>M2</v>
          </cell>
          <cell r="D706">
            <v>108.2216</v>
          </cell>
        </row>
        <row r="707">
          <cell r="A707" t="str">
            <v>001.15.01320</v>
          </cell>
          <cell r="B707" t="str">
            <v>Fornecimento e instalação de portão em cano galvanizado 2 pol e tela galvanizada malha 2cm</v>
          </cell>
          <cell r="C707" t="str">
            <v>M2</v>
          </cell>
          <cell r="D707">
            <v>100.0842</v>
          </cell>
        </row>
        <row r="708">
          <cell r="A708" t="str">
            <v>001.15.01400</v>
          </cell>
          <cell r="B708" t="str">
            <v>Fornecimento e instalação de bancada, tampo ou balcão em granito cinza polido, espessura 2.00 cm</v>
          </cell>
          <cell r="C708" t="str">
            <v>M2</v>
          </cell>
          <cell r="D708">
            <v>135.2216</v>
          </cell>
        </row>
        <row r="709">
          <cell r="A709" t="str">
            <v>001.15.01460</v>
          </cell>
          <cell r="B709" t="str">
            <v>Fornecimento e instalação de caixa de concreto pré-moldado para ar condicionado de 10.000 btu</v>
          </cell>
          <cell r="C709" t="str">
            <v>UN</v>
          </cell>
          <cell r="D709">
            <v>54.443199999999997</v>
          </cell>
        </row>
        <row r="710">
          <cell r="A710" t="str">
            <v>001.15.01560</v>
          </cell>
          <cell r="B710" t="str">
            <v>Fornecimento e instalação de bancada em granito cinza polido l=0,60m sobre alvenaria revestida de azulejo branco, exceto cubas (quantificada e orçada na parte hidráulica)</v>
          </cell>
          <cell r="C710" t="str">
            <v>ML</v>
          </cell>
          <cell r="D710">
            <v>140.9074</v>
          </cell>
        </row>
        <row r="711">
          <cell r="A711" t="str">
            <v>001.15.01600</v>
          </cell>
          <cell r="B711" t="str">
            <v>Fornecimento e instalação de balcão de atendimento em madeira l=0,40m e=0,05m apoiado sobre alvenaria aparente de tijolo cerâmico de 21 furos, inclusive passagem pelo balcão</v>
          </cell>
          <cell r="C711" t="str">
            <v>M</v>
          </cell>
          <cell r="D711">
            <v>108.1168</v>
          </cell>
        </row>
        <row r="712">
          <cell r="A712" t="str">
            <v>001.15.01620</v>
          </cell>
          <cell r="B712" t="str">
            <v>Fornecimento e instalação de corrimao em tubo galvanizado 1"""" chumbado no piso h=1,00m pintado com tinta à óleo 02 demãos</v>
          </cell>
          <cell r="C712" t="str">
            <v>M</v>
          </cell>
          <cell r="D712">
            <v>55.084299999999999</v>
          </cell>
        </row>
        <row r="713">
          <cell r="A713" t="str">
            <v>001.15.01640</v>
          </cell>
          <cell r="B713" t="str">
            <v>Fornecimento e instalação de corrimão em tubo galvanizado 2"""" chumbado no piso h=1.00 m pintado com tinta à óleo 02 demãos</v>
          </cell>
          <cell r="C713" t="str">
            <v>ML</v>
          </cell>
          <cell r="D713">
            <v>99.674300000000002</v>
          </cell>
        </row>
        <row r="714">
          <cell r="A714" t="str">
            <v>***</v>
          </cell>
          <cell r="B714" t="str">
            <v>Fornecimento e instalação de quadro negro, abaulado, c=5.00 m, h=1.30 m, apoiado em pedra de ardósia com moldura em madeira, conforme detalhe</v>
          </cell>
          <cell r="C714" t="str">
            <v>un</v>
          </cell>
          <cell r="D714">
            <v>541.83000000000004</v>
          </cell>
        </row>
        <row r="715">
          <cell r="A715" t="str">
            <v>001.16</v>
          </cell>
          <cell r="B715" t="str">
            <v>URBANIZAÇÃO</v>
          </cell>
          <cell r="D715">
            <v>2312.7172</v>
          </cell>
        </row>
        <row r="716">
          <cell r="A716" t="str">
            <v>001.16.00241</v>
          </cell>
          <cell r="B716" t="str">
            <v>Fornecimento e Plantio de Agave Comum (pequena), com manutenção por 60 dias com irrigação, pulverização, poda e substituição de mudas mortas</v>
          </cell>
          <cell r="C716" t="str">
            <v>un</v>
          </cell>
          <cell r="D716">
            <v>7.3754</v>
          </cell>
        </row>
        <row r="717">
          <cell r="A717" t="str">
            <v>001.16.00242</v>
          </cell>
          <cell r="B717" t="str">
            <v>Fornecimento e Plantio de Agave Comum (média), com manutenção por 60 dias com irrigação, pulverização, poda e substituição de mudas mortas</v>
          </cell>
          <cell r="C717" t="str">
            <v>un</v>
          </cell>
          <cell r="D717">
            <v>14.278</v>
          </cell>
        </row>
        <row r="718">
          <cell r="A718" t="str">
            <v>001.16.00243</v>
          </cell>
          <cell r="B718" t="str">
            <v>Fornecimento e Plantio de Agave Comum (grande), com manutenção por 60 dias com irrigação, pulverização, poda e substituição de mudas mortas</v>
          </cell>
          <cell r="C718" t="str">
            <v>un</v>
          </cell>
          <cell r="D718">
            <v>20.0794</v>
          </cell>
        </row>
        <row r="719">
          <cell r="A719" t="str">
            <v>001.16.00244</v>
          </cell>
          <cell r="B719" t="str">
            <v>Fornecimento e Plantio de Areca (pequena), com manutenção por 60 dias com irrigação, pulverização, poda e substituição de mudas mortas</v>
          </cell>
          <cell r="C719" t="str">
            <v>un</v>
          </cell>
          <cell r="D719">
            <v>10.375400000000001</v>
          </cell>
        </row>
        <row r="720">
          <cell r="A720" t="str">
            <v>001.16.00245</v>
          </cell>
          <cell r="B720" t="str">
            <v>Fornecimento e Plantio de Areca (média), com manutenção por 60 dias com irrigação, pulverização, poda e substituição de mudas mortas</v>
          </cell>
          <cell r="C720" t="str">
            <v>un</v>
          </cell>
          <cell r="D720">
            <v>19.277999999999999</v>
          </cell>
        </row>
        <row r="721">
          <cell r="A721" t="str">
            <v>001.16.00246</v>
          </cell>
          <cell r="B721" t="str">
            <v>Fornecimento e Plantio de Areca (grande), com manutenção por 60 dias com irrigação, pulverização, poda e substituição de mudas mortas</v>
          </cell>
          <cell r="C721" t="str">
            <v>un</v>
          </cell>
          <cell r="D721">
            <v>30.0794</v>
          </cell>
        </row>
        <row r="722">
          <cell r="A722" t="str">
            <v>001.16.00247</v>
          </cell>
          <cell r="B722" t="str">
            <v>Fornecimento e Plantio de Bauhínia Rosa (pequeno), com manutenção por 60 dias com irrigação, pulverização, poda e substituição de mudas mortas</v>
          </cell>
          <cell r="C722" t="str">
            <v>un</v>
          </cell>
          <cell r="D722">
            <v>6.0031999999999996</v>
          </cell>
        </row>
        <row r="723">
          <cell r="A723" t="str">
            <v>001.16.00248</v>
          </cell>
          <cell r="B723" t="str">
            <v>Fornecimento e Plantio de Bauhínia Rosa (médio), com manutenção por 60 dias com irrigação, pulverização, poda e substituição de mudas mortas</v>
          </cell>
          <cell r="C723" t="str">
            <v>un</v>
          </cell>
          <cell r="D723">
            <v>17.375399999999999</v>
          </cell>
        </row>
        <row r="724">
          <cell r="A724" t="str">
            <v>001.16.00249</v>
          </cell>
          <cell r="B724" t="str">
            <v>Fornecimento e Plantio de Bahuínia Rosa (grande), com manutenção por 60 dias com irrigação, pulverização, poda e substituição de mudas mortas</v>
          </cell>
          <cell r="C724" t="str">
            <v>un</v>
          </cell>
          <cell r="D724">
            <v>31.7027</v>
          </cell>
        </row>
        <row r="725">
          <cell r="A725" t="str">
            <v>001.16.00250</v>
          </cell>
          <cell r="B725" t="str">
            <v>Fornecimento e Plantio de Biri, com manutenção por 60 dias com irrigação, pulverização, poda e substituição de mudas mortas</v>
          </cell>
          <cell r="C725" t="str">
            <v>un</v>
          </cell>
          <cell r="D725">
            <v>7.5031999999999996</v>
          </cell>
        </row>
        <row r="726">
          <cell r="A726" t="str">
            <v>001.16.00251</v>
          </cell>
          <cell r="B726" t="str">
            <v>Fornecimento e Plantio de Chuva de Ouro (pequena), com manutenção por 60 dias com irrigação, pulverização, poda e substituição de mudas mortas</v>
          </cell>
          <cell r="C726" t="str">
            <v>un</v>
          </cell>
          <cell r="D726">
            <v>7.5031999999999996</v>
          </cell>
        </row>
        <row r="727">
          <cell r="A727" t="str">
            <v>001.16.00252</v>
          </cell>
          <cell r="B727" t="str">
            <v>Fornecimento e Plantio de Chuva de Ouro (média), com manutenção por 60 dias com irrigação, pulverização, poda e substituição de mudas mortas</v>
          </cell>
          <cell r="C727" t="str">
            <v>un</v>
          </cell>
          <cell r="D727">
            <v>13.3637</v>
          </cell>
        </row>
        <row r="728">
          <cell r="A728" t="str">
            <v>001.16.00253</v>
          </cell>
          <cell r="B728" t="str">
            <v>Fornecimento e Plantio de Chuva de Ouro (grande), com manutenção por 60 dias com irrigação, pulverização, poda e substituição de mudas mortas</v>
          </cell>
          <cell r="C728" t="str">
            <v>un</v>
          </cell>
          <cell r="D728">
            <v>17.375399999999999</v>
          </cell>
        </row>
        <row r="729">
          <cell r="A729" t="str">
            <v>001.16.00254</v>
          </cell>
          <cell r="B729" t="str">
            <v>Fornecimento e Plantio de Croton (pequena), com manutenção por 60 dias com irrigação, pulverização, poda e substituição de mudas mortas</v>
          </cell>
          <cell r="C729" t="str">
            <v>un</v>
          </cell>
          <cell r="D729">
            <v>3.5032000000000001</v>
          </cell>
        </row>
        <row r="730">
          <cell r="A730" t="str">
            <v>001.16.00255</v>
          </cell>
          <cell r="B730" t="str">
            <v>Fornecimento e Plantio de Croton (média), com manutenção por 60 dias com irrigação, pulverização, poda e substituição de mudas mortas</v>
          </cell>
          <cell r="C730" t="str">
            <v>un</v>
          </cell>
          <cell r="D730">
            <v>5.3636999999999997</v>
          </cell>
        </row>
        <row r="731">
          <cell r="A731" t="str">
            <v>001.16.00256</v>
          </cell>
          <cell r="B731" t="str">
            <v>Fornecimento e Plantio de Croton (grande), com manutenção por 60 dias com irrigação, pulverização, poda e substituição de mudas mortas</v>
          </cell>
          <cell r="C731" t="str">
            <v>un</v>
          </cell>
          <cell r="D731">
            <v>10.375400000000001</v>
          </cell>
        </row>
        <row r="732">
          <cell r="A732" t="str">
            <v>001.16.00257</v>
          </cell>
          <cell r="B732" t="str">
            <v>Fornecimento e Plantio de Dracena Marginata (pequena), com manutenção por 60 dias com irrigação, pulverização, poda e substituição de mudas mortas</v>
          </cell>
          <cell r="C732" t="str">
            <v>un</v>
          </cell>
          <cell r="D732">
            <v>8.8754000000000008</v>
          </cell>
        </row>
        <row r="733">
          <cell r="A733" t="str">
            <v>001.16.00258</v>
          </cell>
          <cell r="B733" t="str">
            <v>Fornecimento e Plantio de Dracena Marginata (média), com manutenção por 60 dias com irrigação, pulverização, poda e substituição de mudas mortas</v>
          </cell>
          <cell r="C733" t="str">
            <v>un</v>
          </cell>
          <cell r="D733">
            <v>17.375399999999999</v>
          </cell>
        </row>
        <row r="734">
          <cell r="A734" t="str">
            <v>001.16.00259</v>
          </cell>
          <cell r="B734" t="str">
            <v>Fornecimento e Plantio de Dracena Marginata (grande), com manutenção por 60 dias com irrigação, pulverização, poda e substituição de mudas mortas</v>
          </cell>
          <cell r="C734" t="str">
            <v>un</v>
          </cell>
          <cell r="D734">
            <v>29.277999999999999</v>
          </cell>
        </row>
        <row r="735">
          <cell r="A735" t="str">
            <v>001.16.00260</v>
          </cell>
          <cell r="B735" t="str">
            <v>Fornecimento e Plantio de Era Forrageira, com manutenção por 60 dias com irrigação, pulverização, poda e substituição de mudas mortas</v>
          </cell>
          <cell r="C735" t="str">
            <v>un</v>
          </cell>
          <cell r="D735">
            <v>2.0032000000000001</v>
          </cell>
        </row>
        <row r="736">
          <cell r="A736" t="str">
            <v>001.16.00261</v>
          </cell>
          <cell r="B736" t="str">
            <v>Fornecimento e Plantio de Eretrina (média), com manutenção por 60 dias com irrigação, pulverização, poda e substituição de mudas mortas</v>
          </cell>
          <cell r="C736" t="str">
            <v>un</v>
          </cell>
          <cell r="D736">
            <v>16.363700000000001</v>
          </cell>
        </row>
        <row r="737">
          <cell r="A737" t="str">
            <v>001.16.00262</v>
          </cell>
          <cell r="B737" t="str">
            <v>Fornecimento e Plantio de Hemigrafis Forrageira , com manutenção por 60 dias com irrigação, pulverização, poda e substituição de mudas mortas</v>
          </cell>
          <cell r="C737" t="str">
            <v>un</v>
          </cell>
          <cell r="D737">
            <v>1.5032000000000001</v>
          </cell>
        </row>
        <row r="738">
          <cell r="A738" t="str">
            <v>001.16.00263</v>
          </cell>
          <cell r="B738" t="str">
            <v>Fornecimento e Plantio de Hibisco Bicolor (pequena), com manutenção por 60 dias com irrigação, pulverização, poda e substituição de mudas mortas</v>
          </cell>
          <cell r="C738" t="str">
            <v>un</v>
          </cell>
          <cell r="D738">
            <v>3.5032000000000001</v>
          </cell>
        </row>
        <row r="739">
          <cell r="A739" t="str">
            <v>001.16.00264</v>
          </cell>
          <cell r="B739" t="str">
            <v>Fornecimento e Plantio de Hibisco Bicolor (média), com manutenção por 60 dias com irrigação, pulverização, poda e substituição de mudas mortas</v>
          </cell>
          <cell r="C739" t="str">
            <v>un</v>
          </cell>
          <cell r="D739">
            <v>5.3636999999999997</v>
          </cell>
        </row>
        <row r="740">
          <cell r="A740" t="str">
            <v>001.16.00265</v>
          </cell>
          <cell r="B740" t="str">
            <v>Fornecimento e Plantio de Hibisco Bicolor (grande), com manutenção por 60 dias com irrigação, pulverização, poda e substituição de mudas mortas</v>
          </cell>
          <cell r="C740" t="str">
            <v>un</v>
          </cell>
          <cell r="D740">
            <v>10.375400000000001</v>
          </cell>
        </row>
        <row r="741">
          <cell r="A741" t="str">
            <v>001.16.00266</v>
          </cell>
          <cell r="B741" t="str">
            <v>Fornecimento e Plantio de Ipê Amarelo (pequeno), com manutenção por 60 dias com irrigação, pulverização, poda e substituição de mudas mortas</v>
          </cell>
          <cell r="C741" t="str">
            <v>un</v>
          </cell>
          <cell r="D741">
            <v>9.3636999999999997</v>
          </cell>
        </row>
        <row r="742">
          <cell r="A742" t="str">
            <v>001.16.00267</v>
          </cell>
          <cell r="B742" t="str">
            <v>Fornecimento e Plantio de Ipê Amarelo (médio), com manutenção por 60 dias com irrigação, pulverização, poda e substituição de mudas mortas</v>
          </cell>
          <cell r="C742" t="str">
            <v>un</v>
          </cell>
          <cell r="D742">
            <v>14.375400000000001</v>
          </cell>
        </row>
        <row r="743">
          <cell r="A743" t="str">
            <v>001.16.00268</v>
          </cell>
          <cell r="B743" t="str">
            <v>Fornecimento e Plantio de Ipê Amarelo (grande), com manutenção por 60 dias com irrigação, pulverização, poda e substituição de mudas mortas</v>
          </cell>
          <cell r="C743" t="str">
            <v>un</v>
          </cell>
          <cell r="D743">
            <v>25.0794</v>
          </cell>
        </row>
        <row r="744">
          <cell r="A744" t="str">
            <v>001.16.00269</v>
          </cell>
          <cell r="B744" t="str">
            <v>Fornecimento e Plantio de Ipê Rosa (pequeno), com manutenção por 60 dias com irrigação, pulverização, poda e substituição de mudas mortas</v>
          </cell>
          <cell r="C744" t="str">
            <v>un</v>
          </cell>
          <cell r="D744">
            <v>10.375400000000001</v>
          </cell>
        </row>
        <row r="745">
          <cell r="A745" t="str">
            <v>001.16.00270</v>
          </cell>
          <cell r="B745" t="str">
            <v>Fornecimento e Plantio de Ipê Rosa (médio), com manutenção por 60 dias com irrigação, pulverização, poda e substituição de mudas mortas</v>
          </cell>
          <cell r="C745" t="str">
            <v>un</v>
          </cell>
          <cell r="D745">
            <v>16.277999999999999</v>
          </cell>
        </row>
        <row r="746">
          <cell r="A746" t="str">
            <v>001.16.00271</v>
          </cell>
          <cell r="B746" t="str">
            <v>Fornecimento e Plantio de Ipê Rosa (grande), com manutenção por 60 dias com irrigação, pulverização, poda e substituição de mudas mortas</v>
          </cell>
          <cell r="C746" t="str">
            <v>un</v>
          </cell>
          <cell r="D746">
            <v>24.406700000000001</v>
          </cell>
        </row>
        <row r="747">
          <cell r="A747" t="str">
            <v>001.16.00272</v>
          </cell>
          <cell r="B747" t="str">
            <v>Fornecimento e Plantio de Ipê Roxo (pequeno), com manutenção por 60 dias com irrigação, pulverização, poda e substituição de mudas mortas</v>
          </cell>
          <cell r="C747" t="str">
            <v>un</v>
          </cell>
          <cell r="D747">
            <v>10.375400000000001</v>
          </cell>
        </row>
        <row r="748">
          <cell r="A748" t="str">
            <v>001.16.00273</v>
          </cell>
          <cell r="B748" t="str">
            <v>Fornecimento e Plantio de Ipê Roxo (médio), com manutenção por 60 dias com irrigação, pulverização, poda e substituição de mudas mortas</v>
          </cell>
          <cell r="C748" t="str">
            <v>un</v>
          </cell>
          <cell r="D748">
            <v>17.0794</v>
          </cell>
        </row>
        <row r="749">
          <cell r="A749" t="str">
            <v>001.16.00274</v>
          </cell>
          <cell r="B749" t="str">
            <v>Fornecimento e Plantio de Ipê Roxo (grande), com manutenção por 60 dias com irrigação, pulverização, poda e substituição de mudas mortas</v>
          </cell>
          <cell r="C749" t="str">
            <v>un</v>
          </cell>
          <cell r="D749">
            <v>25.0794</v>
          </cell>
        </row>
        <row r="750">
          <cell r="A750" t="str">
            <v>001.16.00275</v>
          </cell>
          <cell r="B750" t="str">
            <v>Fornecimento e Plantio de Ixória Híbrida Amarela (pequena), com manutenção por 60 dias com irrigação, pulverização, poda e substituição de mudas mortas</v>
          </cell>
          <cell r="C750" t="str">
            <v>un</v>
          </cell>
          <cell r="D750">
            <v>3.5032000000000001</v>
          </cell>
        </row>
        <row r="751">
          <cell r="A751" t="str">
            <v>001.16.00276</v>
          </cell>
          <cell r="B751" t="str">
            <v>Fornecimento e Plantio de Ixória Híbrida Amarela (média), com manutenção por 60 dias com irrigação, pulverização, poda e substituição de mudas mortas</v>
          </cell>
          <cell r="C751" t="str">
            <v>un</v>
          </cell>
          <cell r="D751">
            <v>5.3636999999999997</v>
          </cell>
        </row>
        <row r="752">
          <cell r="A752" t="str">
            <v>001.16.00277</v>
          </cell>
          <cell r="B752" t="str">
            <v>Fornecimento e Plantio de Ixória Híbrida Amarela (grande), com manutenção por 60 dias com irrigação, pulverização, poda e substituição de mudas mortas</v>
          </cell>
          <cell r="C752" t="str">
            <v>un</v>
          </cell>
          <cell r="D752">
            <v>9.3636999999999997</v>
          </cell>
        </row>
        <row r="753">
          <cell r="A753" t="str">
            <v>001.16.00278</v>
          </cell>
          <cell r="B753" t="str">
            <v>Fornecimento e Plantio de Ixória Híbrida Vermelha (pequena), com manutenção por 60 dias com irrigação, pulverização, poda e substituição de mudas mortas</v>
          </cell>
          <cell r="C753" t="str">
            <v>un</v>
          </cell>
          <cell r="D753">
            <v>3.5032000000000001</v>
          </cell>
        </row>
        <row r="754">
          <cell r="A754" t="str">
            <v>001.16.00279</v>
          </cell>
          <cell r="B754" t="str">
            <v>Fornecimento e Plantio de Ixória Híbrida Vermelha (média), com manutenção por 60 dias com irrigação, pulverização, poda e substituição de mudas mortas</v>
          </cell>
          <cell r="C754" t="str">
            <v>un</v>
          </cell>
          <cell r="D754">
            <v>5.3636999999999997</v>
          </cell>
        </row>
        <row r="755">
          <cell r="A755" t="str">
            <v>001.16.00280</v>
          </cell>
          <cell r="B755" t="str">
            <v>Fornecimento e Plantio de Ixória Híbrida Vermelha (grande), com manutenção por 60 dias com irrigação, pulverização, poda e substituição de mudas mortas</v>
          </cell>
          <cell r="C755" t="str">
            <v>un</v>
          </cell>
          <cell r="D755">
            <v>9.3636999999999997</v>
          </cell>
        </row>
        <row r="756">
          <cell r="A756" t="str">
            <v>001.16.00281</v>
          </cell>
          <cell r="B756" t="str">
            <v>Fornecimento e Plantio de Jacarandá Mimoso (pequeno), com manutenção por 60 dias com irrigação, pulverização, poda e substituição de mudas mortas</v>
          </cell>
          <cell r="C756" t="str">
            <v>un</v>
          </cell>
          <cell r="D756">
            <v>4.8636999999999997</v>
          </cell>
        </row>
        <row r="757">
          <cell r="A757" t="str">
            <v>001.16.00282</v>
          </cell>
          <cell r="B757" t="str">
            <v>Fornecimento e Plantio de Jacarandá Mimoso (médio), com manutenção por 60 dias com irrigação, pulverização, poda e substituição de mudas mortas</v>
          </cell>
          <cell r="C757" t="str">
            <v>un</v>
          </cell>
          <cell r="D757">
            <v>16.277999999999999</v>
          </cell>
        </row>
        <row r="758">
          <cell r="A758" t="str">
            <v>001.16.00283</v>
          </cell>
          <cell r="B758" t="str">
            <v>Fornecimento e Plantio de Jacarandá Mimoso (grande), com manutenção por 60 dias com irrigação, pulverização, poda e substituição de mudas mortas</v>
          </cell>
          <cell r="C758" t="str">
            <v>un</v>
          </cell>
          <cell r="D758">
            <v>23.0794</v>
          </cell>
        </row>
        <row r="759">
          <cell r="A759" t="str">
            <v>001.16.00284</v>
          </cell>
          <cell r="B759" t="str">
            <v>Fornecimento e Plantio de Mini Flamboyant (pequena), com manutenção por 60 dias com irrigação, pulverização, poda e substituição de mudas mortas</v>
          </cell>
          <cell r="C759" t="str">
            <v>un</v>
          </cell>
          <cell r="D759">
            <v>4.8636999999999997</v>
          </cell>
        </row>
        <row r="760">
          <cell r="A760" t="str">
            <v>001.16.00285</v>
          </cell>
          <cell r="B760" t="str">
            <v>Fornecimento e Plantio de Mini Flamboyant (média), com manutenção por 60 dias com irrigação, pulverização, poda e substituição de mudas mortas</v>
          </cell>
          <cell r="C760" t="str">
            <v>un</v>
          </cell>
          <cell r="D760">
            <v>7.3754</v>
          </cell>
        </row>
        <row r="761">
          <cell r="A761" t="str">
            <v>001.16.00286</v>
          </cell>
          <cell r="B761" t="str">
            <v>Fornecimento e Plantio de Mini Ixória (pequena), com manutenção por 60 dias com irrigação, pulverização, poda e substituição de mudas mortas</v>
          </cell>
          <cell r="C761" t="str">
            <v>un</v>
          </cell>
          <cell r="D761">
            <v>1.6032</v>
          </cell>
        </row>
        <row r="762">
          <cell r="A762" t="str">
            <v>001.16.00287</v>
          </cell>
          <cell r="B762" t="str">
            <v>Fornecimento e Plantio de Mini Ixória (média), com manutenção por 60 dias com irrigação, pulverização, poda e substituição de mudas mortas</v>
          </cell>
          <cell r="C762" t="str">
            <v>un</v>
          </cell>
          <cell r="D762">
            <v>4.3636999999999997</v>
          </cell>
        </row>
        <row r="763">
          <cell r="A763" t="str">
            <v>001.16.00288</v>
          </cell>
          <cell r="B763" t="str">
            <v>Fornecimento e Plantio de Mini Ixória (grande), com manutenção por 60 dias com irrigação, pulverização, poda e substituição de mudas mortas</v>
          </cell>
          <cell r="C763" t="str">
            <v>un</v>
          </cell>
          <cell r="D763">
            <v>7.3754</v>
          </cell>
        </row>
        <row r="764">
          <cell r="A764" t="str">
            <v>001.16.00289</v>
          </cell>
          <cell r="B764" t="str">
            <v>Fornecimento e Plantio de Musaendra (pequena), com manutenção por 60 dias com irrigação, pulverização, poda e substituição de mudas mortas</v>
          </cell>
          <cell r="C764" t="str">
            <v>un</v>
          </cell>
          <cell r="D764">
            <v>5.3636999999999997</v>
          </cell>
        </row>
        <row r="765">
          <cell r="A765" t="str">
            <v>001.16.00290</v>
          </cell>
          <cell r="B765" t="str">
            <v>Fornecimento e Plantio de Musaendra (média), com manutenção por 60 dias com irrigação, pulverização, poda e substituição de mudas mortas</v>
          </cell>
          <cell r="C765" t="str">
            <v>un</v>
          </cell>
          <cell r="D765">
            <v>12.278</v>
          </cell>
        </row>
        <row r="766">
          <cell r="A766" t="str">
            <v>001.16.00291</v>
          </cell>
          <cell r="B766" t="str">
            <v>Fornecimento e Plantio de Oiti (pequena), com manutenção por 60 dias com irrigação, pulverização, poda e substituição de mudas mortas</v>
          </cell>
          <cell r="C766" t="str">
            <v>un</v>
          </cell>
          <cell r="D766">
            <v>10.0794</v>
          </cell>
        </row>
        <row r="767">
          <cell r="A767" t="str">
            <v>001.16.00292</v>
          </cell>
          <cell r="B767" t="str">
            <v>Fornecimento e Plantio de Oiti (média), com manutenção por 60 dias com irrigação, pulverização, poda e substituição de mudas mortas</v>
          </cell>
          <cell r="C767" t="str">
            <v>un</v>
          </cell>
          <cell r="D767">
            <v>22.4833</v>
          </cell>
        </row>
        <row r="768">
          <cell r="A768" t="str">
            <v>001.16.00293</v>
          </cell>
          <cell r="B768" t="str">
            <v>Fornecimento e Plantio de Oiti (grande), com manutenção por 60 dias com irrigação, pulverização, poda e substituição de mudas mortas</v>
          </cell>
          <cell r="C768" t="str">
            <v>un</v>
          </cell>
          <cell r="D768">
            <v>39.588700000000003</v>
          </cell>
        </row>
        <row r="769">
          <cell r="A769" t="str">
            <v>001.16.00294</v>
          </cell>
          <cell r="B769" t="str">
            <v>Fornecimento e Plantio de Paineira (grande), com manutenção por 60 dias com irrigação, pulverização, poda e substituição de mudas mortas</v>
          </cell>
          <cell r="C769" t="str">
            <v>un</v>
          </cell>
          <cell r="D769">
            <v>32.4833</v>
          </cell>
        </row>
        <row r="770">
          <cell r="A770" t="str">
            <v>001.16.00295</v>
          </cell>
          <cell r="B770" t="str">
            <v>Fornecimento e Plantio de Palmeira Fênix ( 2.00 mts), com manutenção por 60 dias com irrigação, pulverização, poda e substituição de mudas mortas</v>
          </cell>
          <cell r="C770" t="str">
            <v>un</v>
          </cell>
          <cell r="D770">
            <v>32.4833</v>
          </cell>
        </row>
        <row r="771">
          <cell r="A771" t="str">
            <v>001.16.00296</v>
          </cell>
          <cell r="B771" t="str">
            <v>Fornecimento e Plantio de Palmeira Fênix ( 3.00 mts), com manutenção por 60 dias com irrigação, pulverização, poda e substituição de mudas mortas</v>
          </cell>
          <cell r="C771" t="str">
            <v>un</v>
          </cell>
          <cell r="D771">
            <v>54.588700000000003</v>
          </cell>
        </row>
        <row r="772">
          <cell r="A772" t="str">
            <v>001.16.00297</v>
          </cell>
          <cell r="B772" t="str">
            <v>Fornecimento e Plantio de Palmeira Fênix ( 4.00 mts), com manutenção por 60 dias com irrigação, pulverização, poda e substituição de mudas mortas</v>
          </cell>
          <cell r="C772" t="str">
            <v>un</v>
          </cell>
          <cell r="D772">
            <v>77.793999999999997</v>
          </cell>
        </row>
        <row r="773">
          <cell r="A773" t="str">
            <v>001.16.00298</v>
          </cell>
          <cell r="B773" t="str">
            <v>Fornecimento e Plantio de Palmeira Fênix ( 4.50 mts), com manutenção por 60 dias com irrigação, pulverização, poda e substituição de mudas mortas</v>
          </cell>
          <cell r="C773" t="str">
            <v>un</v>
          </cell>
          <cell r="D773">
            <v>109.39660000000001</v>
          </cell>
        </row>
        <row r="774">
          <cell r="A774" t="str">
            <v>001.16.00299</v>
          </cell>
          <cell r="B774" t="str">
            <v>Fornecimento e Plantio de Palmeira Imperial ( 1.20 mts), com manutenção por 60 dias com irrigação, pulverização, poda e substituição de mudas mortas</v>
          </cell>
          <cell r="C774" t="str">
            <v>un</v>
          </cell>
          <cell r="D774">
            <v>20.0794</v>
          </cell>
        </row>
        <row r="775">
          <cell r="A775" t="str">
            <v>001.16.00300</v>
          </cell>
          <cell r="B775" t="str">
            <v>Fornecimento e Plantio de Palmeira Imperial ( 2.00 mts), com manutenção por 60 dias com irrigação, pulverização, poda e substituição de mudas mortas</v>
          </cell>
          <cell r="C775" t="str">
            <v>un</v>
          </cell>
          <cell r="D775">
            <v>47.4833</v>
          </cell>
        </row>
        <row r="776">
          <cell r="A776" t="str">
            <v>001.16.00301</v>
          </cell>
          <cell r="B776" t="str">
            <v>Fornecimento e Plantio de Palmeira Imperial ( 3.00 mts), com manutenção por 60 dias com irrigação, pulverização, poda e substituição de mudas mortas</v>
          </cell>
          <cell r="C776" t="str">
            <v>un</v>
          </cell>
          <cell r="D776">
            <v>84.588700000000003</v>
          </cell>
        </row>
        <row r="777">
          <cell r="A777" t="str">
            <v>001.16.00302</v>
          </cell>
          <cell r="B777" t="str">
            <v>Fornecimento e Plantio de Palmeira Jerivá ( 2.00 mts), com manutenção por 60 dias com irrigação, pulverização, poda e substituição de mudas mortas</v>
          </cell>
          <cell r="C777" t="str">
            <v>un</v>
          </cell>
          <cell r="D777">
            <v>42.4833</v>
          </cell>
        </row>
        <row r="778">
          <cell r="A778" t="str">
            <v>001.16.00303</v>
          </cell>
          <cell r="B778" t="str">
            <v>Fornecimento e Plantio de Palmeira Jerivá (3.00 mts), com manutenção por 60 dias com irrigação, pulverização, poda e substituição de mudas mortas</v>
          </cell>
          <cell r="C778" t="str">
            <v>un</v>
          </cell>
          <cell r="D778">
            <v>59.588700000000003</v>
          </cell>
        </row>
        <row r="779">
          <cell r="A779" t="str">
            <v>001.16.00304</v>
          </cell>
          <cell r="B779" t="str">
            <v>Fornecimento e Plantio de Palmeira Jerivá (4.00 mts), com manutenção por 60 dias com irrigação, pulverização, poda e substituição de mudas mortas</v>
          </cell>
          <cell r="C779" t="str">
            <v>un</v>
          </cell>
          <cell r="D779">
            <v>77.793999999999997</v>
          </cell>
        </row>
        <row r="780">
          <cell r="A780" t="str">
            <v>001.16.00305</v>
          </cell>
          <cell r="B780" t="str">
            <v>Fornecimento e Plantio de Palmeira Jerivá (4.50 mts), com manutenção por 60 dias com irrigação, pulverização, poda e substituição de mudas mortas</v>
          </cell>
          <cell r="C780" t="str">
            <v>un</v>
          </cell>
          <cell r="D780">
            <v>98.7239</v>
          </cell>
        </row>
        <row r="781">
          <cell r="A781" t="str">
            <v>001.16.00306</v>
          </cell>
          <cell r="B781" t="str">
            <v>Fornecimento e Plantio de Papirus do Egito (pequeno), com manutenção por 60 dias com irrigação, pulverização, poda e substituição de mudas mortas</v>
          </cell>
          <cell r="C781" t="str">
            <v>un</v>
          </cell>
          <cell r="D781">
            <v>4.0031999999999996</v>
          </cell>
        </row>
        <row r="782">
          <cell r="A782" t="str">
            <v>001.16.00307</v>
          </cell>
          <cell r="B782" t="str">
            <v>Fornecimento e Plantio de Papirus do Egito (médio), com manutenção por 60 dias com irrigação, pulverização, poda e substituição de mudas mortas</v>
          </cell>
          <cell r="C782" t="str">
            <v>un</v>
          </cell>
          <cell r="D782">
            <v>4.0031999999999996</v>
          </cell>
        </row>
        <row r="783">
          <cell r="A783" t="str">
            <v>001.16.00308</v>
          </cell>
          <cell r="B783" t="str">
            <v>Fornecimento e Plantio de Pau Brasil (média), com manutenção por 60 dias com irrigação, pulverização, poda e substituição de mudas mortas</v>
          </cell>
          <cell r="C783" t="str">
            <v>un</v>
          </cell>
          <cell r="D783">
            <v>19.277999999999999</v>
          </cell>
        </row>
        <row r="784">
          <cell r="A784" t="str">
            <v>001.16.00309</v>
          </cell>
          <cell r="B784" t="str">
            <v>Fornecimento e Plantio de Pau Ferro (pequeno), com manutenção por 60 dias com irrigação, pulverização, poda e substituição de mudas mortas</v>
          </cell>
          <cell r="C784" t="str">
            <v>un</v>
          </cell>
          <cell r="D784">
            <v>6.3636999999999997</v>
          </cell>
        </row>
        <row r="785">
          <cell r="A785" t="str">
            <v>001.16.00310</v>
          </cell>
          <cell r="B785" t="str">
            <v>Fornecimento e Plantio de Pau Ferro (médio), com manutenção por 60 dias com irrigação, pulverização, poda e substituição de mudas mortas</v>
          </cell>
          <cell r="C785" t="str">
            <v>un</v>
          </cell>
          <cell r="D785">
            <v>6.3636999999999997</v>
          </cell>
        </row>
        <row r="786">
          <cell r="A786" t="str">
            <v>001.16.00311</v>
          </cell>
          <cell r="B786" t="str">
            <v>Fornecimento e Plantio de Pingo de Ouro (pequeno), com manutenção por 60 dias com irrigação, pulverização, poda e substituição de mudas mortas</v>
          </cell>
          <cell r="C786" t="str">
            <v>un</v>
          </cell>
          <cell r="D786">
            <v>1.5032000000000001</v>
          </cell>
        </row>
        <row r="787">
          <cell r="A787" t="str">
            <v>001.16.00312</v>
          </cell>
          <cell r="B787" t="str">
            <v>Fornecimento e Plantio de Pingo de Ouro (média), com manutenção por 60 dias com irrigação, pulverização, poda e substituição de mudas mortas</v>
          </cell>
          <cell r="C787" t="str">
            <v>un</v>
          </cell>
          <cell r="D787">
            <v>2.5032000000000001</v>
          </cell>
        </row>
        <row r="788">
          <cell r="A788" t="str">
            <v>001.16.00313</v>
          </cell>
          <cell r="B788" t="str">
            <v>Fornecimento e Plantio de Pingo de Ouro (grande), com manutenção por 60 dias com irrigação, pulverização, poda e substituição de mudas mortas</v>
          </cell>
          <cell r="C788" t="str">
            <v>un</v>
          </cell>
          <cell r="D788">
            <v>4.3636999999999997</v>
          </cell>
        </row>
        <row r="789">
          <cell r="A789" t="str">
            <v>001.16.00314</v>
          </cell>
          <cell r="B789" t="str">
            <v>Fornecimento e Plantio de Sansão do Campo (pequeno), com manutenção por 60 dias com irrigação, pulverização, poda e substituição de mudas mortas</v>
          </cell>
          <cell r="C789" t="str">
            <v>un</v>
          </cell>
          <cell r="D789">
            <v>1.4032</v>
          </cell>
        </row>
        <row r="790">
          <cell r="A790" t="str">
            <v>001.16.00320</v>
          </cell>
          <cell r="B790" t="str">
            <v>Grade de proteção para árvores h = 2.00 m</v>
          </cell>
          <cell r="C790" t="str">
            <v>un</v>
          </cell>
          <cell r="D790">
            <v>33.894199999999998</v>
          </cell>
        </row>
        <row r="791">
          <cell r="A791" t="str">
            <v>001.16.00321</v>
          </cell>
          <cell r="B791" t="str">
            <v>Fornecimento e espalhamento de terra vegetal</v>
          </cell>
          <cell r="C791" t="str">
            <v>m3</v>
          </cell>
          <cell r="D791">
            <v>70.227999999999994</v>
          </cell>
        </row>
        <row r="792">
          <cell r="A792" t="str">
            <v>001.16.00322</v>
          </cell>
          <cell r="B792" t="str">
            <v>Grama em Sementes - Plantio Manual de Semente de Grama incl. Irrigação de Área, Frequência 1 Vez Por Semana Pelo Período de 30 dias</v>
          </cell>
          <cell r="C792" t="str">
            <v>m2</v>
          </cell>
          <cell r="D792">
            <v>0.62280000000000002</v>
          </cell>
        </row>
        <row r="793">
          <cell r="A793" t="str">
            <v>001.16.00323</v>
          </cell>
          <cell r="B793" t="str">
            <v>Grama em mudas tipo (forquilha ou estrela) com manutenção por 60 dias  com irrigação diária, pulverização, adubação e substiuição de mudas mortas</v>
          </cell>
          <cell r="C793" t="str">
            <v>m2</v>
          </cell>
          <cell r="D793">
            <v>2.5028000000000001</v>
          </cell>
        </row>
        <row r="794">
          <cell r="A794" t="str">
            <v>001.16.00325</v>
          </cell>
          <cell r="B794" t="str">
            <v>Grama em placas com manutenção por 60 dias com irrigação diária, pulverização, adubação e substituição de mudas mortas</v>
          </cell>
          <cell r="C794" t="str">
            <v>m2</v>
          </cell>
          <cell r="D794">
            <v>4.5937999999999999</v>
          </cell>
        </row>
        <row r="795">
          <cell r="A795" t="str">
            <v>001.16.00337</v>
          </cell>
          <cell r="B795" t="str">
            <v>Cascalho lavado p/passeio</v>
          </cell>
          <cell r="C795" t="str">
            <v>m3</v>
          </cell>
          <cell r="D795">
            <v>36.814</v>
          </cell>
        </row>
        <row r="796">
          <cell r="A796" t="str">
            <v>001.16.00640</v>
          </cell>
          <cell r="B796" t="str">
            <v>Brita na área interna do prédio</v>
          </cell>
          <cell r="C796" t="str">
            <v>M3</v>
          </cell>
          <cell r="D796">
            <v>44.918399999999998</v>
          </cell>
        </row>
        <row r="797">
          <cell r="A797" t="str">
            <v>001.16.00660</v>
          </cell>
          <cell r="B797" t="str">
            <v>Brita na área interna do prédio - branca - (fins decorativos)</v>
          </cell>
          <cell r="C797" t="str">
            <v>M3</v>
          </cell>
          <cell r="D797">
            <v>49.228000000000002</v>
          </cell>
        </row>
        <row r="798">
          <cell r="A798" t="str">
            <v>001.16.00680</v>
          </cell>
          <cell r="B798" t="str">
            <v>Brita na área interna do prédio - escurinha - (fins decorativos)</v>
          </cell>
          <cell r="C798" t="str">
            <v>M3</v>
          </cell>
          <cell r="D798">
            <v>49.228000000000002</v>
          </cell>
        </row>
        <row r="799">
          <cell r="A799" t="str">
            <v>001.16.00760</v>
          </cell>
          <cell r="B799" t="str">
            <v>Execução de alambrado em tubo de ferro Galvanizado 2.1/2"" chapa 13 formando quadro de 3.00x3.00m e tela galvanizada fio 12 malha 2"" fixado com arame galvanizado n.14</v>
          </cell>
          <cell r="C799" t="str">
            <v>m2</v>
          </cell>
          <cell r="D799">
            <v>50.365400000000001</v>
          </cell>
        </row>
        <row r="800">
          <cell r="A800" t="str">
            <v>001.16.00770</v>
          </cell>
          <cell r="B800" t="str">
            <v>Alambrado c/ Tela Arame Galv. Losangular fio 12, malha 2"", altura da tela 1.50 m, fix. em pilarete de concreto pré moldado h= 2.60 m, espaçados a cada 2.50 m, com reforço arame galv. n.10, incl.mureta de alvenaria h=0.50 m chapiscada, rebocada e caiada</v>
          </cell>
          <cell r="C800" t="str">
            <v>ml</v>
          </cell>
          <cell r="D800">
            <v>69.436300000000003</v>
          </cell>
        </row>
        <row r="801">
          <cell r="A801" t="str">
            <v>001.16.00775</v>
          </cell>
          <cell r="B801" t="str">
            <v>Alambrado c/ Tela Arame Galv. Soldada 150x50 fio 12, altura da tela 1.50 m, fix. em pilarete de concreto pré moldado h= 2.80 m, espaçados a cada 2.50 m, com reforço arame galv. n.10, incl.mureta de alvenaria h=0.50 m chapiscada, rebocada e caiada</v>
          </cell>
          <cell r="C801" t="str">
            <v>ml</v>
          </cell>
          <cell r="D801">
            <v>76.352900000000005</v>
          </cell>
        </row>
        <row r="802">
          <cell r="A802" t="str">
            <v>001.16.00776</v>
          </cell>
          <cell r="B802" t="str">
            <v>Fornecimento e Instalação de Portão em Tubo Galvanizado 2"" e Tela Galvanizada Malha 2"", incl. Ferragens</v>
          </cell>
          <cell r="C802" t="str">
            <v>m2</v>
          </cell>
          <cell r="D802">
            <v>100.0842</v>
          </cell>
        </row>
        <row r="803">
          <cell r="A803" t="str">
            <v>001.16.00777</v>
          </cell>
          <cell r="B803" t="str">
            <v>Fornecimento e Instalação de Portão em Tubo Galvanizado 2"" em Tela Galvanizada Malha 2"", incl. Ferragens dim. 0.80 x 2.10 m Conf. Det. 04 SINFRA</v>
          </cell>
          <cell r="C803" t="str">
            <v>m2</v>
          </cell>
          <cell r="D803">
            <v>120.17749999999999</v>
          </cell>
        </row>
        <row r="804">
          <cell r="A804" t="str">
            <v>001.16.00778</v>
          </cell>
          <cell r="B804" t="str">
            <v>Pavimentação c/ lajotas pré-moldadas de concreto sextavado ( bloquete). deverão observar as mesmas especificações de ítens anteriores no que se refere a assentamento e rejuntamento. espessura de 5 cm para calcadas</v>
          </cell>
          <cell r="C804" t="str">
            <v>m2</v>
          </cell>
          <cell r="D804">
            <v>22.2544</v>
          </cell>
        </row>
        <row r="805">
          <cell r="A805" t="str">
            <v>001.16.00779</v>
          </cell>
          <cell r="B805" t="str">
            <v>Pavimentação c/ lajotas pré-moldadas de concreto sextavado ( bloquete). deverão observar as mesmas especificações de ítens anteriores no que se refere a assentamento e rejuntamento. espessura de 10 cm para tráfego</v>
          </cell>
          <cell r="C805" t="str">
            <v>m2</v>
          </cell>
          <cell r="D805">
            <v>32.5959</v>
          </cell>
        </row>
        <row r="806">
          <cell r="A806" t="str">
            <v>001.16.00880</v>
          </cell>
          <cell r="B806" t="str">
            <v>Fornecimento e assentamento de paralelepípedo</v>
          </cell>
          <cell r="C806" t="str">
            <v>m2</v>
          </cell>
          <cell r="D806">
            <v>27.15</v>
          </cell>
        </row>
        <row r="807">
          <cell r="A807" t="str">
            <v>001.16.00981</v>
          </cell>
          <cell r="B807" t="str">
            <v>Guias de concreto pré-moldados (concreto 300kg cimento/m3) de seção 15x30 cm (espessura 12.00 cm no topo)  o serviço inclui a abertura das valas, assentamento e rejuntamento das guias</v>
          </cell>
          <cell r="C807" t="str">
            <v>ml</v>
          </cell>
          <cell r="D807">
            <v>18.142399999999999</v>
          </cell>
        </row>
        <row r="808">
          <cell r="A808" t="str">
            <v>001.16.00982</v>
          </cell>
          <cell r="B808" t="str">
            <v>Guias curvas de concreto pré-moldados (concreto 300kg cimento/m3) de seção 15x30 cm (espessura 12.00 cm no topo)  o serviço inclui a abertura das valas, assentamento e rejuntamento das guias</v>
          </cell>
          <cell r="C808" t="str">
            <v>ml</v>
          </cell>
          <cell r="D808">
            <v>18.024899999999999</v>
          </cell>
        </row>
        <row r="809">
          <cell r="A809" t="str">
            <v>001.16.00984</v>
          </cell>
          <cell r="B809" t="str">
            <v>Sarjeta de concreto (300kg cim/m3) fundido no local seção 40.00 x 8.00 cm, o serviço inclui a abertura de vala, assentamento e rejuntamento</v>
          </cell>
          <cell r="C809" t="str">
            <v>ml</v>
          </cell>
          <cell r="D809">
            <v>16.5931</v>
          </cell>
        </row>
        <row r="810">
          <cell r="A810" t="str">
            <v>001.16.00985</v>
          </cell>
          <cell r="B810" t="str">
            <v>Retirada e reassentamento de meio-fio</v>
          </cell>
          <cell r="C810" t="str">
            <v>m</v>
          </cell>
          <cell r="D810">
            <v>17.592400000000001</v>
          </cell>
        </row>
        <row r="811">
          <cell r="A811" t="str">
            <v>001.17</v>
          </cell>
          <cell r="B811" t="str">
            <v>INSTALAÇÕES ELÉTRICAS - BAIXA TENSÃO</v>
          </cell>
          <cell r="D811">
            <v>40234.390099999997</v>
          </cell>
        </row>
        <row r="812">
          <cell r="A812" t="str">
            <v>001.17.00002</v>
          </cell>
          <cell r="B812" t="str">
            <v>Abertura e enchimento de rasgos na alvenaria para passagem de canalização diâmetro 1/2 à 1 pol</v>
          </cell>
          <cell r="C812" t="str">
            <v>ML</v>
          </cell>
          <cell r="D812">
            <v>2.0531000000000001</v>
          </cell>
        </row>
        <row r="813">
          <cell r="A813" t="str">
            <v>001.17.00004</v>
          </cell>
          <cell r="B813" t="str">
            <v>Abertura e enchimento de rasgos na alvenaria para passagem de canalização diâmetro 1 1/4 à 2 pol</v>
          </cell>
          <cell r="C813" t="str">
            <v>ML</v>
          </cell>
          <cell r="D813">
            <v>2.7353999999999998</v>
          </cell>
        </row>
        <row r="814">
          <cell r="A814" t="str">
            <v>001.17.00006</v>
          </cell>
          <cell r="B814" t="str">
            <v>Abertura e enchimento de rasgos na alvenaria para passagem de canalização diâmetro 2.5 à 4 pol</v>
          </cell>
          <cell r="C814" t="str">
            <v>ML</v>
          </cell>
          <cell r="D814">
            <v>3.8428</v>
          </cell>
        </row>
        <row r="815">
          <cell r="A815" t="str">
            <v>001.17.00010</v>
          </cell>
          <cell r="B815" t="str">
            <v>Abertura e enchimento de rasgos no concreto para passagem de canalização diâmetro de 1/2 à 1 pol</v>
          </cell>
          <cell r="C815" t="str">
            <v>ML</v>
          </cell>
          <cell r="D815">
            <v>4.4991000000000003</v>
          </cell>
        </row>
        <row r="816">
          <cell r="A816" t="str">
            <v>001.17.00020</v>
          </cell>
          <cell r="B816" t="str">
            <v>Envelope de concreto Fck=13,50 Mpa, para proteção de tubos enterrados, incl. escavação, acerto de vala e lançamento de concreto</v>
          </cell>
          <cell r="C816" t="str">
            <v>M3</v>
          </cell>
          <cell r="D816">
            <v>192.8115</v>
          </cell>
        </row>
        <row r="817">
          <cell r="A817" t="str">
            <v>001.17.00040</v>
          </cell>
          <cell r="B817" t="str">
            <v>Fornecimento e instalação de Padrão Monofásico Em Aço Galvanizado h= 5.00 mts Aéreo 40 A """"CP"""" s/ eletroduto - Conjunto completo incl aterramento</v>
          </cell>
          <cell r="C817" t="str">
            <v>UN</v>
          </cell>
          <cell r="D817">
            <v>228.0378</v>
          </cell>
        </row>
        <row r="818">
          <cell r="A818" t="str">
            <v>001.17.00060</v>
          </cell>
          <cell r="B818" t="str">
            <v>Fornecimento e instalação de Padrão Monofásico Em Aço Galvanizado h= 7.00 mts Aéreo 40 A """"CP"""" s/ eletroduto - Conjunto completo incl aterramento</v>
          </cell>
          <cell r="C818" t="str">
            <v>UN</v>
          </cell>
          <cell r="D818">
            <v>266.49779999999998</v>
          </cell>
        </row>
        <row r="819">
          <cell r="A819" t="str">
            <v>001.17.00080</v>
          </cell>
          <cell r="B819" t="str">
            <v>Fornecimento e Instalação de Padrão Bifásico  Em Aço Galvanizado h= 7.00 mts Aéreo 60 A """"CP"""" s/ eletroduto - Conjunto completo incl aterramento</v>
          </cell>
          <cell r="C819" t="str">
            <v>UN</v>
          </cell>
          <cell r="D819">
            <v>305.90170000000001</v>
          </cell>
        </row>
        <row r="820">
          <cell r="A820" t="str">
            <v>001.17.00100</v>
          </cell>
          <cell r="B820" t="str">
            <v>Fornecimento e instalação de Padrão Trifásico  Em Aço Galvanizado h= 7.00 mts Aéreo 60 A """"CP"""" s/ eletroduto - Conjunto completo incl aterramento</v>
          </cell>
          <cell r="C820" t="str">
            <v>UN</v>
          </cell>
          <cell r="D820">
            <v>629.08119999999997</v>
          </cell>
        </row>
        <row r="821">
          <cell r="A821" t="str">
            <v>001.17.00120</v>
          </cell>
          <cell r="B821" t="str">
            <v>Fornecimento e instalação de Padrão Trifásico  Em Aço Galvanizado h= 7.00 mts Aéreo 100 A """"CP"""" s/ eletroduto - Conjunto completo incl aterramento</v>
          </cell>
          <cell r="C821" t="str">
            <v>UN</v>
          </cell>
          <cell r="D821">
            <v>836.77120000000002</v>
          </cell>
        </row>
        <row r="822">
          <cell r="A822" t="str">
            <v>001.17.00140</v>
          </cell>
          <cell r="B822" t="str">
            <v>Fornecimento e instalação de Padrão Trifásico  Em Aço Galvanizado h= 7.00 mts Aéreo 125 A """"CP"""" s/ eletroduto, DJ T 04 - Conjunto completo incl aterramento</v>
          </cell>
          <cell r="C822" t="str">
            <v>CJ</v>
          </cell>
          <cell r="D822">
            <v>1771.3912</v>
          </cell>
        </row>
        <row r="823">
          <cell r="A823" t="str">
            <v>001.17.00160</v>
          </cell>
          <cell r="B823" t="str">
            <v>Fornecimento e instalação de Caixa Padrão """"CP"""" P/ Medidor Monofásico, Bifásico e Trifásico - Baixa Tensão</v>
          </cell>
          <cell r="C823" t="str">
            <v>UN</v>
          </cell>
          <cell r="D823">
            <v>46.717799999999997</v>
          </cell>
        </row>
        <row r="824">
          <cell r="A824" t="str">
            <v>001.17.00180</v>
          </cell>
          <cell r="B824" t="str">
            <v>Fornecimento e instalação de Caixa Padrão """"FP"""" P/ Medidor Bifásico e Trifásico - Baixa Tensão</v>
          </cell>
          <cell r="C824" t="str">
            <v>UN</v>
          </cell>
          <cell r="D824">
            <v>95.237799999999993</v>
          </cell>
        </row>
        <row r="825">
          <cell r="A825" t="str">
            <v>001.17.00200</v>
          </cell>
          <cell r="B825" t="str">
            <v>Fornecimento e instalação de Caixa Padrão """"FM"""" P/ Medidor Monofásico - Baixa Tensão</v>
          </cell>
          <cell r="C825" t="str">
            <v>UN</v>
          </cell>
          <cell r="D825">
            <v>81.090900000000005</v>
          </cell>
        </row>
        <row r="826">
          <cell r="A826" t="str">
            <v>001.17.00220</v>
          </cell>
          <cell r="B826" t="str">
            <v>Fornecimento e instalação de Isolador Roldana de Plástico C/ Parafuso P/ Fixar em Madeira de 1/2 pol.</v>
          </cell>
          <cell r="C826" t="str">
            <v>UN</v>
          </cell>
          <cell r="D826">
            <v>0.54479999999999995</v>
          </cell>
        </row>
        <row r="827">
          <cell r="A827" t="str">
            <v>001.17.00240</v>
          </cell>
          <cell r="B827" t="str">
            <v>Fornecimento e instalação de Isolador Roldana de Plástico C/ Parafuso P/ Fixar em Madeira de 3/4 pol.</v>
          </cell>
          <cell r="C827" t="str">
            <v>UN</v>
          </cell>
          <cell r="D827">
            <v>0.56679999999999997</v>
          </cell>
        </row>
        <row r="828">
          <cell r="A828" t="str">
            <v>001.17.00250</v>
          </cell>
          <cell r="B828" t="str">
            <v>Fornecimento e Instalação de Isolador Roldana de Porcelana 72x72 C/ Parafuso P/ Fixar Em Madeira</v>
          </cell>
          <cell r="C828" t="str">
            <v>UN</v>
          </cell>
          <cell r="D828">
            <v>2.4375</v>
          </cell>
        </row>
        <row r="829">
          <cell r="A829" t="str">
            <v>001.17.00260</v>
          </cell>
          <cell r="B829" t="str">
            <v>Fornecimento e instalação de Mangueira  Polietileno Marron  Linha Popular Diâmetro 1/2 Pol X 2,0 mm</v>
          </cell>
          <cell r="C829" t="str">
            <v>M</v>
          </cell>
          <cell r="D829">
            <v>1.0469999999999999</v>
          </cell>
        </row>
        <row r="830">
          <cell r="A830" t="str">
            <v>001.17.00280</v>
          </cell>
          <cell r="B830" t="str">
            <v>Fornecimento e instalação de Mangueira  Polietileno Marron  Linha Popular Diâmetro 3/4 Pol X 2,5 mm</v>
          </cell>
          <cell r="C830" t="str">
            <v>M</v>
          </cell>
          <cell r="D830">
            <v>1.304</v>
          </cell>
        </row>
        <row r="831">
          <cell r="A831" t="str">
            <v>001.17.00300</v>
          </cell>
          <cell r="B831" t="str">
            <v>Fornecimento e instalação de Mangueira  Polietileno Marron  Linha Popular Diâmetro 1 Pol X 2,5 mm</v>
          </cell>
          <cell r="C831" t="str">
            <v>M</v>
          </cell>
          <cell r="D831">
            <v>1.5761000000000001</v>
          </cell>
        </row>
        <row r="832">
          <cell r="A832" t="str">
            <v>001.17.00320</v>
          </cell>
          <cell r="B832" t="str">
            <v>Fornecimento e instalação de canaleta de pvc 110x20x2.200 mm ref. 300 46 sistema """"""""x"""""""" da pial</v>
          </cell>
          <cell r="C832" t="str">
            <v>UN</v>
          </cell>
          <cell r="D832">
            <v>5.7478999999999996</v>
          </cell>
        </row>
        <row r="833">
          <cell r="A833" t="str">
            <v>001.17.00340</v>
          </cell>
          <cell r="B833" t="str">
            <v>Fornecimento e instalação de eletroduto flexível  1/2"""""""" (20mm) corrugado de pvc</v>
          </cell>
          <cell r="C833" t="str">
            <v>M</v>
          </cell>
          <cell r="D833">
            <v>1.5539000000000001</v>
          </cell>
        </row>
        <row r="834">
          <cell r="A834" t="str">
            <v>001.17.00360</v>
          </cell>
          <cell r="B834" t="str">
            <v>Fornecimento e instalação de eletroduto flexível  3/4"""""""" (25mm) corrugado de pvc</v>
          </cell>
          <cell r="C834" t="str">
            <v>M</v>
          </cell>
          <cell r="D834">
            <v>1.9313</v>
          </cell>
        </row>
        <row r="835">
          <cell r="A835" t="str">
            <v>001.17.00380</v>
          </cell>
          <cell r="B835" t="str">
            <v>Fornecimento e instalação de eletroduto flexível  1"""""""" (32mm) corrugado de pvc</v>
          </cell>
          <cell r="C835" t="str">
            <v>M</v>
          </cell>
          <cell r="D835">
            <v>3.2338</v>
          </cell>
        </row>
        <row r="836">
          <cell r="A836" t="str">
            <v>001.17.00400</v>
          </cell>
          <cell r="B836" t="str">
            <v>Fornecimento e instalação de Caixa Retang. De Ferro  de Embutir C/Furos De 1/2 pol e 3/4pol 4x2pol</v>
          </cell>
          <cell r="C836" t="str">
            <v>UN</v>
          </cell>
          <cell r="D836">
            <v>3.0249000000000001</v>
          </cell>
        </row>
        <row r="837">
          <cell r="A837" t="str">
            <v>001.17.00440</v>
          </cell>
          <cell r="B837" t="str">
            <v>Fornecimento e instalação de Caixa Retang. De Ferro  de Embutir C/Furos De 1/2 pol e 3/4pol 4x4pol</v>
          </cell>
          <cell r="C837" t="str">
            <v>UN</v>
          </cell>
          <cell r="D837">
            <v>3.8159000000000001</v>
          </cell>
        </row>
        <row r="838">
          <cell r="A838" t="str">
            <v>001.17.00460</v>
          </cell>
          <cell r="B838" t="str">
            <v>Fornecimento e instalação de Caixa Retang. De Ferro  de Embutir C/Furos De 1/2 pol e 3/4pol 3x3pol</v>
          </cell>
          <cell r="C838" t="str">
            <v>UN</v>
          </cell>
          <cell r="D838">
            <v>3.3249</v>
          </cell>
        </row>
        <row r="839">
          <cell r="A839" t="str">
            <v>001.17.00480</v>
          </cell>
          <cell r="B839" t="str">
            <v>Fornecimento e instalação de Caixa  Octog. De Ferro de Embutir Fundo Movel C/Furos 1/2 pol e3/4pol 4x4 pol - FMD</v>
          </cell>
          <cell r="C839" t="str">
            <v>UN</v>
          </cell>
          <cell r="D839">
            <v>4.2039</v>
          </cell>
        </row>
        <row r="840">
          <cell r="A840" t="str">
            <v>001.17.00510</v>
          </cell>
          <cell r="B840" t="str">
            <v>Fornecimento e instalação de Caixa De Ligação P/Piso Em Liga De Alumínio 4x2pol</v>
          </cell>
          <cell r="C840" t="str">
            <v>UN</v>
          </cell>
          <cell r="D840">
            <v>8.4628999999999994</v>
          </cell>
        </row>
        <row r="841">
          <cell r="A841" t="str">
            <v>001.17.00540</v>
          </cell>
          <cell r="B841" t="str">
            <v>Fornecimento e instalação de fio de cobre seção 1.50 mm2, com isolamento para 750 v, com caract. não propagante ao fogo e auto extinguível, pirastic ou similar.</v>
          </cell>
          <cell r="C841" t="str">
            <v>ML</v>
          </cell>
          <cell r="D841">
            <v>0.61150000000000004</v>
          </cell>
        </row>
        <row r="842">
          <cell r="A842" t="str">
            <v>001.17.00560</v>
          </cell>
          <cell r="B842" t="str">
            <v>Fornecimento e instalação de fio de cobre seção 2.50 mm2, com isolamento para 750 v, com caract. não propagante ao fogo e auto extinguível, pirastic ou similar.</v>
          </cell>
          <cell r="C842" t="str">
            <v>ML</v>
          </cell>
          <cell r="D842">
            <v>0.71350000000000002</v>
          </cell>
        </row>
        <row r="843">
          <cell r="A843" t="str">
            <v>001.17.00580</v>
          </cell>
          <cell r="B843" t="str">
            <v>Fornecimento e instalação de fio de cobre seção 4.00 mm2, com isolamento para 750 v, com caract. não propagante ao fogo e auto extinguível, pirastic ou similar.</v>
          </cell>
          <cell r="C843" t="str">
            <v>ML</v>
          </cell>
          <cell r="D843">
            <v>1.3251999999999999</v>
          </cell>
        </row>
        <row r="844">
          <cell r="A844" t="str">
            <v>001.17.00600</v>
          </cell>
          <cell r="B844" t="str">
            <v>Fornecimento e instalação de fio de cobre seção 6.00 mm2, com isolamento para 750 v, com caract. não propagante ao fogo e auto extinguível, pirastic ou similar.</v>
          </cell>
          <cell r="C844" t="str">
            <v>ML</v>
          </cell>
          <cell r="D844">
            <v>1.8349</v>
          </cell>
        </row>
        <row r="845">
          <cell r="A845" t="str">
            <v>001.17.00620</v>
          </cell>
          <cell r="B845" t="str">
            <v>Fornecimento e instalação de fio de cobre seção 10.00 mm2, com isolamento para 750 v, com caract. não propagante ao fogo e auto extinguível, pirastic ou similar.</v>
          </cell>
          <cell r="C845" t="str">
            <v>ML</v>
          </cell>
          <cell r="D845">
            <v>3.0064000000000002</v>
          </cell>
        </row>
        <row r="846">
          <cell r="A846" t="str">
            <v>001.17.00640</v>
          </cell>
          <cell r="B846" t="str">
            <v>Fornecimento e instalação de cabo de cobre seção 2.50 mm2, com isolamento para 750 v, com caract. não propagante ao fogo e auto extinguível, pirastic flex ou similar.</v>
          </cell>
          <cell r="C846" t="str">
            <v>ML</v>
          </cell>
          <cell r="D846">
            <v>0.86650000000000005</v>
          </cell>
        </row>
        <row r="847">
          <cell r="A847" t="str">
            <v>001.17.00660</v>
          </cell>
          <cell r="B847" t="str">
            <v>Fornecimento e instalação de cabo de cobre seção 4.00 mm2, com isolamento para 750 v, com caract. não propagante ao fogo e auto extinguível, pirastic flex ou similar.</v>
          </cell>
          <cell r="C847" t="str">
            <v>ML</v>
          </cell>
          <cell r="D847">
            <v>1.4782</v>
          </cell>
        </row>
        <row r="848">
          <cell r="A848" t="str">
            <v>001.17.00680</v>
          </cell>
          <cell r="B848" t="str">
            <v>Fornecimento e instalação de cabo de cobre seção 6.00 mm2, com isolamento para 750 v, com caract. não propagante ao fogo e auto extinguível, pirastic flex ou similar.</v>
          </cell>
          <cell r="C848" t="str">
            <v>ML</v>
          </cell>
          <cell r="D848">
            <v>2.0388999999999999</v>
          </cell>
        </row>
        <row r="849">
          <cell r="A849" t="str">
            <v>001.17.00700</v>
          </cell>
          <cell r="B849" t="str">
            <v>Fornecimento e instalação de cabo de cobre seção 10.00 mm2, com isolamento para 750 v, com caract. não propagante ao fogo e auto extinguível, pirastic ou similar.</v>
          </cell>
          <cell r="C849" t="str">
            <v>ML</v>
          </cell>
          <cell r="D849">
            <v>3.7713999999999999</v>
          </cell>
        </row>
        <row r="850">
          <cell r="A850" t="str">
            <v>001.17.00720</v>
          </cell>
          <cell r="B850" t="str">
            <v>Fornecimento e instalação de cabo de cobre seção 16.00 mm2, com isolamento para 750 v, com caract. não propagante ao fogo e auto extinguível, pirastic ou similar.</v>
          </cell>
          <cell r="C850" t="str">
            <v>ML</v>
          </cell>
          <cell r="D850">
            <v>4.9938000000000002</v>
          </cell>
        </row>
        <row r="851">
          <cell r="A851" t="str">
            <v>001.17.00740</v>
          </cell>
          <cell r="B851" t="str">
            <v>Fornecimento e instalação de cabo de cobre seção 25.00 mm2, com isolamento para 750 v, com caract. não propagante ao fogo e auto extinguível, pirastic ou similar.</v>
          </cell>
          <cell r="C851" t="str">
            <v>ML</v>
          </cell>
          <cell r="D851">
            <v>8.0535999999999994</v>
          </cell>
        </row>
        <row r="852">
          <cell r="A852" t="str">
            <v>001.17.00760</v>
          </cell>
          <cell r="B852" t="str">
            <v>Fornecimento e instalação de cabo de cobre seção 35.00 mm2, com isolamento para 750 v, com caract. não propagante ao fogo e auto extinguível, pirastic ou similar.</v>
          </cell>
          <cell r="C852" t="str">
            <v>ML</v>
          </cell>
          <cell r="D852">
            <v>10.704499999999999</v>
          </cell>
        </row>
        <row r="853">
          <cell r="A853" t="str">
            <v>001.17.00780</v>
          </cell>
          <cell r="B853" t="str">
            <v>Fornecimento e instalação de cabo de cobre seção 50.00 mm2, com isolamento para 750 v, com caract. não propagante ao fogo e auto extinguível, pirastic ou similar.</v>
          </cell>
          <cell r="C853" t="str">
            <v>ML</v>
          </cell>
          <cell r="D853">
            <v>14.883900000000001</v>
          </cell>
        </row>
        <row r="854">
          <cell r="A854" t="str">
            <v>001.17.00800</v>
          </cell>
          <cell r="B854" t="str">
            <v>Fornecimento e instalação de cabo de cobre seção 70.00 mm2, com isolamento para 750 v, com caract. não propagante ao fogo e auto extinguível, pirastic ou similar.</v>
          </cell>
          <cell r="C854" t="str">
            <v>ML</v>
          </cell>
          <cell r="D854">
            <v>20.595099999999999</v>
          </cell>
        </row>
        <row r="855">
          <cell r="A855" t="str">
            <v>001.17.00820</v>
          </cell>
          <cell r="B855" t="str">
            <v>Fornecimento e instalação de cabo de cobre seção 95.00 mm2, com isolamento para 750 v, com caract. não propagante ao fogo e auto extinguível, pirastic ou similar.</v>
          </cell>
          <cell r="C855" t="str">
            <v>ML</v>
          </cell>
          <cell r="D855">
            <v>26.4086</v>
          </cell>
        </row>
        <row r="856">
          <cell r="A856" t="str">
            <v>001.17.00840</v>
          </cell>
          <cell r="B856" t="str">
            <v>Fornecimento e instalação de cabo de cobre seção 120.00 mm2, com isolamento para 750 v, com caract. não propagante ao fogo e auto extinguível, pirastic ou similar.</v>
          </cell>
          <cell r="C856" t="str">
            <v>ML</v>
          </cell>
          <cell r="D856">
            <v>33.341999999999999</v>
          </cell>
        </row>
        <row r="857">
          <cell r="A857" t="str">
            <v>001.17.00860</v>
          </cell>
          <cell r="B857" t="str">
            <v>Fornecimento e instalação de cabo de cobre seção 150.00 mm2, com isolamento para 750 v, com caract. não propagante ao fogo e auto extinguível, pirastic ou similar.</v>
          </cell>
          <cell r="C857" t="str">
            <v>ML</v>
          </cell>
          <cell r="D857">
            <v>40.428100000000001</v>
          </cell>
        </row>
        <row r="858">
          <cell r="A858" t="str">
            <v>001.17.00880</v>
          </cell>
          <cell r="B858" t="str">
            <v>Fornecimento e instalação de cabo de cobre seção 185.00 mm2, com isolamento para 750 v, com caract. não propagante ao fogo e auto extinguível, pirastic ou similar.</v>
          </cell>
          <cell r="C858" t="str">
            <v>ML</v>
          </cell>
          <cell r="D858">
            <v>51.388599999999997</v>
          </cell>
        </row>
        <row r="859">
          <cell r="A859" t="str">
            <v>001.17.00900</v>
          </cell>
          <cell r="B859" t="str">
            <v>Fornecimento e instalação de cabo de cobre seção 240.00 mm2, com isolamento para 750 v, com caract. não propagante ao fogo e auto extinguível, pirastic ou similar.</v>
          </cell>
          <cell r="C859" t="str">
            <v>ML</v>
          </cell>
          <cell r="D859">
            <v>67.194000000000003</v>
          </cell>
        </row>
        <row r="860">
          <cell r="A860" t="str">
            <v>001.17.00920</v>
          </cell>
          <cell r="B860" t="str">
            <v>Fornecimento e instalação de cabo de cobre seção 300.00 mm2, com isolamento para 750 v, com caract. não propagante ao fogo e auto extinguível, pirastic ou similar.</v>
          </cell>
          <cell r="C860" t="str">
            <v>ML</v>
          </cell>
          <cell r="D860">
            <v>86.567899999999995</v>
          </cell>
        </row>
        <row r="861">
          <cell r="A861" t="str">
            <v>001.17.00940</v>
          </cell>
          <cell r="B861" t="str">
            <v>Fornecimento e instalação de cabo de cobre seção 400.00 mm2, com isolamento para 750 v, com caract. não propagante ao fogo e auto extinguível, pirastic ou similar.</v>
          </cell>
          <cell r="C861" t="str">
            <v>ML</v>
          </cell>
          <cell r="D861">
            <v>128.47980000000001</v>
          </cell>
        </row>
        <row r="862">
          <cell r="A862" t="str">
            <v>001.17.00960</v>
          </cell>
          <cell r="B862" t="str">
            <v>Fornecimento e instalação de cabo de cobre seção 500.00 mm2, com isolamento para 750 v, com caract. não propagante ao fogo e auto extinguível, pirastic ou similar.</v>
          </cell>
          <cell r="C862" t="str">
            <v>ML</v>
          </cell>
          <cell r="D862">
            <v>132.3663</v>
          </cell>
        </row>
        <row r="863">
          <cell r="A863" t="str">
            <v>001.17.00980</v>
          </cell>
          <cell r="B863" t="str">
            <v>Fornecimento e instalação de cabo de cobre seção 2x2.50 mm2, com isolamento para 0.60 /1.00 Kv, com caract. não propagante ao fogo e auto extinguível, sintenax ou similar.</v>
          </cell>
          <cell r="C863" t="str">
            <v>ML</v>
          </cell>
          <cell r="D863">
            <v>2.3454999999999999</v>
          </cell>
        </row>
        <row r="864">
          <cell r="A864" t="str">
            <v>001.17.01000</v>
          </cell>
          <cell r="B864" t="str">
            <v>Fornecimento e instalação de cabo de cobre seção 2x4.00 mm2, com isolamento para 0.60 /1.00 Kv, com caract. não propagante ao fogo e auto extinguível, sintenax ou similar.</v>
          </cell>
          <cell r="C864" t="str">
            <v>ML</v>
          </cell>
          <cell r="D864">
            <v>3.5691999999999999</v>
          </cell>
        </row>
        <row r="865">
          <cell r="A865" t="str">
            <v>001.17.01020</v>
          </cell>
          <cell r="B865" t="str">
            <v>Fornecimento e instalação de cabo de cobre seção 2x6.00 mm2, com isolamento para 0.60 /1.00 Kv, com caract. não propagante ao fogo e auto extinguível, sintenax ou similar.</v>
          </cell>
          <cell r="C865" t="str">
            <v>ML</v>
          </cell>
          <cell r="D865">
            <v>5.2519</v>
          </cell>
        </row>
        <row r="866">
          <cell r="A866" t="str">
            <v>001.17.01040</v>
          </cell>
          <cell r="B866" t="str">
            <v>Fornecimento e instalação de cabo de cobre seção 2x10.00 mm2, com isolamento para 0.60 /1.00 Kv, com caract. não propagante ao fogo e auto extinguível, sintenax ou similar.</v>
          </cell>
          <cell r="C866" t="str">
            <v>ML</v>
          </cell>
          <cell r="D866">
            <v>8.5654000000000003</v>
          </cell>
        </row>
        <row r="867">
          <cell r="A867" t="str">
            <v>001.17.01060</v>
          </cell>
          <cell r="B867" t="str">
            <v>Fornecimento e instalação de cabo de cobre seção 3x2.50 mm2, com isolamento para 0.60 /1.00 Kv, com caract. não propagante ao fogo e auto extinguível, sintenax ou similar.</v>
          </cell>
          <cell r="C867" t="str">
            <v>ML</v>
          </cell>
          <cell r="D867">
            <v>3.1615000000000002</v>
          </cell>
        </row>
        <row r="868">
          <cell r="A868" t="str">
            <v>001.17.01080</v>
          </cell>
          <cell r="B868" t="str">
            <v>Fornecimento e instalação de cabo de cobre seção 3x4.00 mm2, com isolamento para 0.60 /1.00 Kv, com caract. não propagante ao fogo e auto extinguível, sintenax ou similar.</v>
          </cell>
          <cell r="C868" t="str">
            <v>ML</v>
          </cell>
          <cell r="D868">
            <v>4.7422000000000004</v>
          </cell>
        </row>
        <row r="869">
          <cell r="A869" t="str">
            <v>001.17.01100</v>
          </cell>
          <cell r="B869" t="str">
            <v>Fornecimento e instalação de cabo de cobre seção 3x6.00 mm2, com isolamento para 0.60 /1.00 Kv, com caract. não propagante ao fogo e auto extinguível, sintenax ou similar.</v>
          </cell>
          <cell r="C869" t="str">
            <v>ML</v>
          </cell>
          <cell r="D869">
            <v>6.5269000000000004</v>
          </cell>
        </row>
        <row r="870">
          <cell r="A870" t="str">
            <v>001.17.01120</v>
          </cell>
          <cell r="B870" t="str">
            <v>Fornecimento e instalação de cabo de cobre seção 3x10.00 mm2, com isolamento para 0.60 /1.00 Kv, com caract. não propagante ao fogo e auto extinguível, sintenax ou similar.</v>
          </cell>
          <cell r="C870" t="str">
            <v>ML</v>
          </cell>
          <cell r="D870">
            <v>11.2174</v>
          </cell>
        </row>
        <row r="871">
          <cell r="A871" t="str">
            <v>001.17.01140</v>
          </cell>
          <cell r="B871" t="str">
            <v>Fornecimento e instalação de cabos de cobre seção 4.00 mm2,para tensão de 1000 volts formado por condutor de fio de cobre isolado com material de característica não propagante ao fogo</v>
          </cell>
          <cell r="C871" t="str">
            <v>ML</v>
          </cell>
          <cell r="D871">
            <v>1.9363999999999999</v>
          </cell>
        </row>
        <row r="872">
          <cell r="A872" t="str">
            <v>001.17.01160</v>
          </cell>
          <cell r="B872" t="str">
            <v>Fornecimento e instalação de cabos de cobre seção 6.00 mm2,para tensão de 1000 volts formado por condutor de fio de cobre isolado com material de característica não propagante ao fogo</v>
          </cell>
          <cell r="C872" t="str">
            <v>ML</v>
          </cell>
          <cell r="D872">
            <v>2.5855999999999999</v>
          </cell>
        </row>
        <row r="873">
          <cell r="A873" t="str">
            <v>001.17.01180</v>
          </cell>
          <cell r="B873" t="str">
            <v>Fornecimento e instalação de cabos de cobre seção 10.00 mm2,para tensão de 1000 volts formado por condutor de fio de cobre isolado com material de característica não propagante ao fogo</v>
          </cell>
          <cell r="C873" t="str">
            <v>ML</v>
          </cell>
          <cell r="D873">
            <v>3.6796000000000002</v>
          </cell>
        </row>
        <row r="874">
          <cell r="A874" t="str">
            <v>001.17.01200</v>
          </cell>
          <cell r="B874" t="str">
            <v>Fornecimento e instalação de cabos de cobre seção 16.00 mm2,para tensão de 1000 volts formado por condutor de fio de cobre isolado com material de característica não propagante ao fogo</v>
          </cell>
          <cell r="C874" t="str">
            <v>ML</v>
          </cell>
          <cell r="D874">
            <v>5.5650000000000004</v>
          </cell>
        </row>
        <row r="875">
          <cell r="A875" t="str">
            <v>001.17.01220</v>
          </cell>
          <cell r="B875" t="str">
            <v>Fornecimento e instalação de cabos de cobre seção 25.00 mm2,para tensão de 1000 volts formado por condutor de fio de cobre isolado com material de característica não propagante ao fogo</v>
          </cell>
          <cell r="C875" t="str">
            <v>ML</v>
          </cell>
          <cell r="D875">
            <v>8.3596000000000004</v>
          </cell>
        </row>
        <row r="876">
          <cell r="A876" t="str">
            <v>001.17.01240</v>
          </cell>
          <cell r="B876" t="str">
            <v>Fornecimento e instalação de cabos de cobre seção 35.00 mm2,para tensão de 1000 volts formado por condutor de fio de cobre isolado com material de característica não propagante ao fogo</v>
          </cell>
          <cell r="C876" t="str">
            <v>ML</v>
          </cell>
          <cell r="D876">
            <v>10.2149</v>
          </cell>
        </row>
        <row r="877">
          <cell r="A877" t="str">
            <v>001.17.01260</v>
          </cell>
          <cell r="B877" t="str">
            <v>Fornecimento e instalação de cabos de cobre seção 50.00 mm2,para tensão de 1000 volts formado por condutor de fio de cobre isolado com material de característica não propagante ao fogo</v>
          </cell>
          <cell r="C877" t="str">
            <v>ML</v>
          </cell>
          <cell r="D877">
            <v>16.5669</v>
          </cell>
        </row>
        <row r="878">
          <cell r="A878" t="str">
            <v>001.17.01280</v>
          </cell>
          <cell r="B878" t="str">
            <v>Fornecimento e instalação de cabos de cobre seção 70.00 mm2,para tensão de 1000 volts formado por condutor de fio de cobre isolado com material de característica não propagante ao fogo</v>
          </cell>
          <cell r="C878" t="str">
            <v>ML</v>
          </cell>
          <cell r="D878">
            <v>18.7591</v>
          </cell>
        </row>
        <row r="879">
          <cell r="A879" t="str">
            <v>001.17.01300</v>
          </cell>
          <cell r="B879" t="str">
            <v>Fornecimento e instalação de cabos de cobre seção 95.00 mm2,para tensão de 1000 volts formado por condutor de fio de cobre isolado com material de característica não propagante ao fogo</v>
          </cell>
          <cell r="C879" t="str">
            <v>ML</v>
          </cell>
          <cell r="D879">
            <v>25.0928</v>
          </cell>
        </row>
        <row r="880">
          <cell r="A880" t="str">
            <v>001.17.01320</v>
          </cell>
          <cell r="B880" t="str">
            <v>Fornecimento e instalação de cabos de cobre seção 120.00 mm2,para tensão de 1000 volts formado por condutor de fio de cobre isolado com material de característica não propagante ao fogo 2</v>
          </cell>
          <cell r="C880" t="str">
            <v>ML</v>
          </cell>
          <cell r="D880">
            <v>31.516200000000001</v>
          </cell>
        </row>
        <row r="881">
          <cell r="A881" t="str">
            <v>001.17.01340</v>
          </cell>
          <cell r="B881" t="str">
            <v>Fornecimento e instalação de cabos de cobre seção 150 mm2,para tensão de 1000 volts formado por condutor de fio de cobre isolado com material de característica não propagante ao fogo</v>
          </cell>
          <cell r="C881" t="str">
            <v>ML</v>
          </cell>
          <cell r="D881">
            <v>38.112699999999997</v>
          </cell>
        </row>
        <row r="882">
          <cell r="A882" t="str">
            <v>001.17.01360</v>
          </cell>
          <cell r="B882" t="str">
            <v>Fornecimento e instalação de cabos de cobre seção 185 mm2,para tensão de 1000 volts formado por condutor de fio de cobre isolado com material de característica não propagante ao fogo</v>
          </cell>
          <cell r="C882" t="str">
            <v>ML</v>
          </cell>
          <cell r="D882">
            <v>48.614199999999997</v>
          </cell>
        </row>
        <row r="883">
          <cell r="A883" t="str">
            <v>001.17.01380</v>
          </cell>
          <cell r="B883" t="str">
            <v>Fornecimento e instalação de cabos de cobre seção 240 mm2,para tensão de 1000 volts formado por condutor de fio de cobre isolado com material de característica não propagante ao fogo</v>
          </cell>
          <cell r="C883" t="str">
            <v>ML</v>
          </cell>
          <cell r="D883">
            <v>62.348999999999997</v>
          </cell>
        </row>
        <row r="884">
          <cell r="A884" t="str">
            <v>001.17.01400</v>
          </cell>
          <cell r="B884" t="str">
            <v>Fornecimento e instalação de cabos de seção 300 mm2,para tensão de 1000 volts formado por condutor de fio de cobre isolado com material de característica não propagante ao fogo</v>
          </cell>
          <cell r="C884" t="str">
            <v>ML</v>
          </cell>
          <cell r="D884">
            <v>79.631900000000002</v>
          </cell>
        </row>
        <row r="885">
          <cell r="A885" t="str">
            <v>001.17.01420</v>
          </cell>
          <cell r="B885" t="str">
            <v>Fornecimento e instalação de cabo de cobre seção 25 mm2,com isolamento de 15 kv</v>
          </cell>
          <cell r="C885" t="str">
            <v>ML</v>
          </cell>
          <cell r="D885">
            <v>37.429600000000001</v>
          </cell>
        </row>
        <row r="886">
          <cell r="A886" t="str">
            <v>001.17.01440</v>
          </cell>
          <cell r="B886" t="str">
            <v>Fornecimento e instalação de eletroduto de pvc 1 1/4"""""""" corrugado tipo kanaflex</v>
          </cell>
          <cell r="C886" t="str">
            <v>ML</v>
          </cell>
          <cell r="D886">
            <v>4.6773999999999996</v>
          </cell>
        </row>
        <row r="887">
          <cell r="A887" t="str">
            <v>001.17.01460</v>
          </cell>
          <cell r="B887" t="str">
            <v>Fornecimento e instalação de eletroduto de pvc 1 1/2"""""""" corrugado tipo kanaflex</v>
          </cell>
          <cell r="C887" t="str">
            <v>ML</v>
          </cell>
          <cell r="D887">
            <v>5.5545999999999998</v>
          </cell>
        </row>
        <row r="888">
          <cell r="A888" t="str">
            <v>001.17.01500</v>
          </cell>
          <cell r="B888" t="str">
            <v>Fornecimento e instalação de eletroduto rígido de ferro galvanizado  1/2"""" c/ rosca nas duas pontas em barra de 3 metros - Médio</v>
          </cell>
          <cell r="C888" t="str">
            <v>UN</v>
          </cell>
          <cell r="D888">
            <v>19.233899999999998</v>
          </cell>
        </row>
        <row r="889">
          <cell r="A889" t="str">
            <v>001.17.01520</v>
          </cell>
          <cell r="B889" t="str">
            <v>Fornecimento e instalação de eletroduto rígido de ferro galvanizado  3/4"""" c/ rosca nas duas pontas em barra de 3 metros - Médio</v>
          </cell>
          <cell r="C889" t="str">
            <v>UN</v>
          </cell>
          <cell r="D889">
            <v>22.9299</v>
          </cell>
        </row>
        <row r="890">
          <cell r="A890" t="str">
            <v>001.17.01540</v>
          </cell>
          <cell r="B890" t="str">
            <v>Fornecimento e instalação de eletroduto rígido de ferro galvanizado 1"""" c/ rosca nas duas pontas em barra de 3 metros - Médio</v>
          </cell>
          <cell r="C890" t="str">
            <v>UN</v>
          </cell>
          <cell r="D890">
            <v>26.741399999999999</v>
          </cell>
        </row>
        <row r="891">
          <cell r="A891" t="str">
            <v>001.17.01560</v>
          </cell>
          <cell r="B891" t="str">
            <v>Fornecimento e instalação de eletroduto rígido de ferro galvanizado 1 1/4"""" c/ rosca nas duas pontas em barra de 3 metros - Médio</v>
          </cell>
          <cell r="C891" t="str">
            <v>UN</v>
          </cell>
          <cell r="D891">
            <v>37.051299999999998</v>
          </cell>
        </row>
        <row r="892">
          <cell r="A892" t="str">
            <v>001.17.01580</v>
          </cell>
          <cell r="B892" t="str">
            <v>Fornecimento e instalação de eletroduto rígido de ferro galvanizado 1 1/2"""" c/ rosca nas duas pontas em barra de 3 metros - Médio</v>
          </cell>
          <cell r="C892" t="str">
            <v>UN</v>
          </cell>
          <cell r="D892">
            <v>49.987299999999998</v>
          </cell>
        </row>
        <row r="893">
          <cell r="A893" t="str">
            <v>001.17.01600</v>
          </cell>
          <cell r="B893" t="str">
            <v>Fornecimento e instalação de eletroduto rígido de ferro galvanizado 2"""" c/ rosca nas duas pontas em barra de 3 metros - Médio</v>
          </cell>
          <cell r="C893" t="str">
            <v>UN</v>
          </cell>
          <cell r="D893">
            <v>66.619299999999996</v>
          </cell>
        </row>
        <row r="894">
          <cell r="A894" t="str">
            <v>001.17.01620</v>
          </cell>
          <cell r="B894" t="str">
            <v>Fornecimento e instalação de eletroduto rígido de ferro galvanizado 2 1/2"""" c/ rosca nas duas pontas em barra de 3 metros - Médio</v>
          </cell>
          <cell r="C894" t="str">
            <v>UN</v>
          </cell>
          <cell r="D894">
            <v>69.936300000000003</v>
          </cell>
        </row>
        <row r="895">
          <cell r="A895" t="str">
            <v>001.17.01640</v>
          </cell>
          <cell r="B895" t="str">
            <v>Fornecimento e instalação de eletroduto rígido de ferro galvanizado 3"""" c/ rosca nas duas pontas em barra de 3 metros - Médio</v>
          </cell>
          <cell r="C895" t="str">
            <v>UN</v>
          </cell>
          <cell r="D895">
            <v>117.46980000000001</v>
          </cell>
        </row>
        <row r="896">
          <cell r="A896" t="str">
            <v>001.17.01660</v>
          </cell>
          <cell r="B896" t="str">
            <v>Fornecimento e instalação de eletroduto rígido de ferro galvanizado 4"""" c/ rosca nas duas pontas em barra de 3 metros - Médio</v>
          </cell>
          <cell r="C896" t="str">
            <v>UN</v>
          </cell>
          <cell r="D896">
            <v>149.5788</v>
          </cell>
        </row>
        <row r="897">
          <cell r="A897" t="str">
            <v>001.17.01680</v>
          </cell>
          <cell r="B897" t="str">
            <v>Fornecimento e instalação de eletroduto de pvc  1/2"""""""" roscável anti-chama em barra de 3 m</v>
          </cell>
          <cell r="C897" t="str">
            <v>UN</v>
          </cell>
          <cell r="D897">
            <v>5.6475999999999997</v>
          </cell>
        </row>
        <row r="898">
          <cell r="A898" t="str">
            <v>001.17.01700</v>
          </cell>
          <cell r="B898" t="str">
            <v>Fornecimento e instalação de eletroduto de pvc  3/4"""""""" roscável anti-chama em barra de 3 m</v>
          </cell>
          <cell r="C898" t="str">
            <v>UN</v>
          </cell>
          <cell r="D898">
            <v>6.4875999999999996</v>
          </cell>
        </row>
        <row r="899">
          <cell r="A899" t="str">
            <v>001.17.01720</v>
          </cell>
          <cell r="B899" t="str">
            <v>Fornecimento e instalação de eletroduto de pvc  1"""""""" roscável anti-chama em barra de 3 m</v>
          </cell>
          <cell r="C899" t="str">
            <v>UN</v>
          </cell>
          <cell r="D899">
            <v>8.5876000000000001</v>
          </cell>
        </row>
        <row r="900">
          <cell r="A900" t="str">
            <v>001.17.01740</v>
          </cell>
          <cell r="B900" t="str">
            <v>Fornecimento e instalação de eletroduto de pvc  1 1/4"""""""" roscável anti-chama em barra de 3 m</v>
          </cell>
          <cell r="C900" t="str">
            <v>UN</v>
          </cell>
          <cell r="D900">
            <v>12.9339</v>
          </cell>
        </row>
        <row r="901">
          <cell r="A901" t="str">
            <v>001.17.01760</v>
          </cell>
          <cell r="B901" t="str">
            <v>Fornecimento e instalação de eletroduto de pvc  1 1/2"""""""" roscável anti-chama em barra de 3 m</v>
          </cell>
          <cell r="C901" t="str">
            <v>UN</v>
          </cell>
          <cell r="D901">
            <v>14.4039</v>
          </cell>
        </row>
        <row r="902">
          <cell r="A902" t="str">
            <v>001.17.01780</v>
          </cell>
          <cell r="B902" t="str">
            <v>Fornecimento e instalação de eletroduto de pvc  2"""""""" roscável anti-chama em barra de 3 m</v>
          </cell>
          <cell r="C902" t="str">
            <v>UN</v>
          </cell>
          <cell r="D902">
            <v>18.498899999999999</v>
          </cell>
        </row>
        <row r="903">
          <cell r="A903" t="str">
            <v>001.17.01800</v>
          </cell>
          <cell r="B903" t="str">
            <v>Fornecimento e instalação de eletroduto de pvc  2 1/2"""""""" roscável anti-chama em barra de 3 m</v>
          </cell>
          <cell r="C903" t="str">
            <v>UN</v>
          </cell>
          <cell r="D903">
            <v>31.560199999999998</v>
          </cell>
        </row>
        <row r="904">
          <cell r="A904" t="str">
            <v>001.17.01820</v>
          </cell>
          <cell r="B904" t="str">
            <v>Fornecimento e instalação de eletroduto de pvc  3"""""""" roscável anti-chama em barra de 3 m</v>
          </cell>
          <cell r="C904" t="str">
            <v>UN</v>
          </cell>
          <cell r="D904">
            <v>33.240200000000002</v>
          </cell>
        </row>
        <row r="905">
          <cell r="A905" t="str">
            <v>001.17.01840</v>
          </cell>
          <cell r="B905" t="str">
            <v>Fornecimento e instalação de eletroduto de pvc  4"""""""" roscável anti-chama em barra de 3 m</v>
          </cell>
          <cell r="C905" t="str">
            <v>UN</v>
          </cell>
          <cell r="D905">
            <v>41.955199999999998</v>
          </cell>
        </row>
        <row r="906">
          <cell r="A906" t="str">
            <v>001.17.01850</v>
          </cell>
          <cell r="B906" t="str">
            <v>Fornecimento e instalação de conjunto bucha e arruela 1/2"""" de pvc para eletroduto roscável</v>
          </cell>
          <cell r="C906" t="str">
            <v>CJ</v>
          </cell>
          <cell r="D906">
            <v>0.4975</v>
          </cell>
        </row>
        <row r="907">
          <cell r="A907" t="str">
            <v>001.17.01860</v>
          </cell>
          <cell r="B907" t="str">
            <v>Fornecimento e instalação de conjunto bucha e arruela 3/4"""""""" de pvc para eletroduto roscáve</v>
          </cell>
          <cell r="C907" t="str">
            <v>CJ</v>
          </cell>
          <cell r="D907">
            <v>0.52749999999999997</v>
          </cell>
        </row>
        <row r="908">
          <cell r="A908" t="str">
            <v>001.17.01880</v>
          </cell>
          <cell r="B908" t="str">
            <v>Fornecimento e instalação de conjunto bucha e arruela 1"""""""" de pvc para eletroduto roscável</v>
          </cell>
          <cell r="C908" t="str">
            <v>CJ</v>
          </cell>
          <cell r="D908">
            <v>0.6875</v>
          </cell>
        </row>
        <row r="909">
          <cell r="A909" t="str">
            <v>001.17.01900</v>
          </cell>
          <cell r="B909" t="str">
            <v>Fornecimento e instalação de conjunto bucha e arruela 1 1/4"""""""" de pvc para eletroduto roscável</v>
          </cell>
          <cell r="C909" t="str">
            <v>CJ</v>
          </cell>
          <cell r="D909">
            <v>1.2450000000000001</v>
          </cell>
        </row>
        <row r="910">
          <cell r="A910" t="str">
            <v>001.17.01920</v>
          </cell>
          <cell r="B910" t="str">
            <v>Fornecimento e instalação de conjunto bucha e arruela 1 1/2"""""""",de pvc para eletroduto roscável</v>
          </cell>
          <cell r="C910" t="str">
            <v>CJ</v>
          </cell>
          <cell r="D910">
            <v>1.425</v>
          </cell>
        </row>
        <row r="911">
          <cell r="A911" t="str">
            <v>001.17.01940</v>
          </cell>
          <cell r="B911" t="str">
            <v>Fornecimento e instalação de conjunto bucha e arruela 2"""""""", de pvc para eletroduto roscável</v>
          </cell>
          <cell r="C911" t="str">
            <v>CJ</v>
          </cell>
          <cell r="D911">
            <v>1.915</v>
          </cell>
        </row>
        <row r="912">
          <cell r="A912" t="str">
            <v>001.17.01960</v>
          </cell>
          <cell r="B912" t="str">
            <v>Fornecimento e instalação de conjunto bucha e arruela 2 1/2"""""""", de pvc para eletroduto roscável</v>
          </cell>
          <cell r="C912" t="str">
            <v>CJ</v>
          </cell>
          <cell r="D912">
            <v>3.3275000000000001</v>
          </cell>
        </row>
        <row r="913">
          <cell r="A913" t="str">
            <v>001.17.01980</v>
          </cell>
          <cell r="B913" t="str">
            <v>Fornecimento e instalação de conjunto bucha e arruela 3"""""""", de pvc para eletroduto roscável</v>
          </cell>
          <cell r="C913" t="str">
            <v>CJ</v>
          </cell>
          <cell r="D913">
            <v>3.9775</v>
          </cell>
        </row>
        <row r="914">
          <cell r="A914" t="str">
            <v>001.17.02000</v>
          </cell>
          <cell r="B914" t="str">
            <v>Fornecimento e instalação de conjunto bucha e arruela 4"""""""" de pvc para eletroduto roscável</v>
          </cell>
          <cell r="C914" t="str">
            <v>CJ</v>
          </cell>
          <cell r="D914">
            <v>5.3075000000000001</v>
          </cell>
        </row>
        <row r="915">
          <cell r="A915" t="str">
            <v>001.17.02020</v>
          </cell>
          <cell r="B915" t="str">
            <v>Fornecimento e instalação de curva 90º de pvc 1/2"""""""" para eletroduto roscável</v>
          </cell>
          <cell r="C915" t="str">
            <v>UN</v>
          </cell>
          <cell r="D915">
            <v>1.3501000000000001</v>
          </cell>
        </row>
        <row r="916">
          <cell r="A916" t="str">
            <v>001.17.02040</v>
          </cell>
          <cell r="B916" t="str">
            <v>Fornecimento e instalação de curva 90º de pvc 3/4"""""""" para eletroduto roscável</v>
          </cell>
          <cell r="C916" t="str">
            <v>UN</v>
          </cell>
          <cell r="D916">
            <v>1.7375</v>
          </cell>
        </row>
        <row r="917">
          <cell r="A917" t="str">
            <v>001.17.02060</v>
          </cell>
          <cell r="B917" t="str">
            <v>Fornecimento e instalação de curva 90º de pvc 1"""""""" para eletroduto roscável</v>
          </cell>
          <cell r="C917" t="str">
            <v>UN</v>
          </cell>
          <cell r="D917">
            <v>2.2374999999999998</v>
          </cell>
        </row>
        <row r="918">
          <cell r="A918" t="str">
            <v>001.17.02080</v>
          </cell>
          <cell r="B918" t="str">
            <v>Fornecimento e instalação de curva 90º de pvc 1 1/4"""""""" para eletroduto roscável</v>
          </cell>
          <cell r="C918" t="str">
            <v>UN</v>
          </cell>
          <cell r="D918">
            <v>2.9249999999999998</v>
          </cell>
        </row>
        <row r="919">
          <cell r="A919" t="str">
            <v>001.17.02100</v>
          </cell>
          <cell r="B919" t="str">
            <v>Fornecimento e instalação de curva 90º de pvc 1 1/2"""""""" para eletroduto roscável</v>
          </cell>
          <cell r="C919" t="str">
            <v>UN</v>
          </cell>
          <cell r="D919">
            <v>3.3250000000000002</v>
          </cell>
        </row>
        <row r="920">
          <cell r="A920" t="str">
            <v>001.17.02120</v>
          </cell>
          <cell r="B920" t="str">
            <v>Fornecimento e instalação de curva 90º de pvc 2"""""""" para eletroduto roscável</v>
          </cell>
          <cell r="C920" t="str">
            <v>UN</v>
          </cell>
          <cell r="D920">
            <v>4.625</v>
          </cell>
        </row>
        <row r="921">
          <cell r="A921" t="str">
            <v>001.17.02140</v>
          </cell>
          <cell r="B921" t="str">
            <v>Fornecimento e instalação de curva 90º de pvc 2 1/2"""""""" para eletroduto roscável</v>
          </cell>
          <cell r="C921" t="str">
            <v>UN</v>
          </cell>
          <cell r="D921">
            <v>8.8063000000000002</v>
          </cell>
        </row>
        <row r="922">
          <cell r="A922" t="str">
            <v>001.17.02160</v>
          </cell>
          <cell r="B922" t="str">
            <v>Fornecimento e instalação de curva 90º de pvc 3"""""""" para eletroduto roscável</v>
          </cell>
          <cell r="C922" t="str">
            <v>UN</v>
          </cell>
          <cell r="D922">
            <v>9.0062999999999995</v>
          </cell>
        </row>
        <row r="923">
          <cell r="A923" t="str">
            <v>001.17.02180</v>
          </cell>
          <cell r="B923" t="str">
            <v>Fornecimento e instalação de curva 90º de pvc 4"""""""" para eletroduto roscável</v>
          </cell>
          <cell r="C923" t="str">
            <v>UN</v>
          </cell>
          <cell r="D923">
            <v>16.906300000000002</v>
          </cell>
        </row>
        <row r="924">
          <cell r="A924" t="str">
            <v>001.17.02200</v>
          </cell>
          <cell r="B924" t="str">
            <v>Fornecimento e instalação de curva 135° de pvc 3/4"""""""" para eletroduto roscável</v>
          </cell>
          <cell r="C924" t="str">
            <v>UN</v>
          </cell>
          <cell r="D924">
            <v>2.1375000000000002</v>
          </cell>
        </row>
        <row r="925">
          <cell r="A925" t="str">
            <v>001.17.02220</v>
          </cell>
          <cell r="B925" t="str">
            <v>Fornecimento e instalação de curva 135° de pvc 1"""""""" para eletroduto roscável</v>
          </cell>
          <cell r="C925" t="str">
            <v>UN</v>
          </cell>
          <cell r="D925">
            <v>3.4575</v>
          </cell>
        </row>
        <row r="926">
          <cell r="A926" t="str">
            <v>001.17.02240</v>
          </cell>
          <cell r="B926" t="str">
            <v>Fornecimento e instalação de curva 135° de pvc 1 1/4"""""""" para eletroduto roscável</v>
          </cell>
          <cell r="C926" t="str">
            <v>UN</v>
          </cell>
          <cell r="D926">
            <v>7.3250000000000002</v>
          </cell>
        </row>
        <row r="927">
          <cell r="A927" t="str">
            <v>001.17.02260</v>
          </cell>
          <cell r="B927" t="str">
            <v>Fornecimento e instalação de curva 135° de pvc 1 1/2"""""""" para eletroduto roscável</v>
          </cell>
          <cell r="C927" t="str">
            <v>UN</v>
          </cell>
          <cell r="D927">
            <v>9.625</v>
          </cell>
        </row>
        <row r="928">
          <cell r="A928" t="str">
            <v>001.17.02280</v>
          </cell>
          <cell r="B928" t="str">
            <v>Fornecimento e instalação de curva 135° de pvc 2"""""""" para eletroduto roscável</v>
          </cell>
          <cell r="C928" t="str">
            <v>UN</v>
          </cell>
          <cell r="D928">
            <v>13.625</v>
          </cell>
        </row>
        <row r="929">
          <cell r="A929" t="str">
            <v>001.17.02300</v>
          </cell>
          <cell r="B929" t="str">
            <v>Fornecimento e instalação de luva pvc 1/2"""""""" p/ eletroduto roscável</v>
          </cell>
          <cell r="C929" t="str">
            <v>UN</v>
          </cell>
          <cell r="D929">
            <v>0.76880000000000004</v>
          </cell>
        </row>
        <row r="930">
          <cell r="A930" t="str">
            <v>001.17.02320</v>
          </cell>
          <cell r="B930" t="str">
            <v>Fornecimento e instalação de luva pvc 3/4"""""""" p/ eletroduto roscável</v>
          </cell>
          <cell r="C930" t="str">
            <v>UN</v>
          </cell>
          <cell r="D930">
            <v>0.86880000000000002</v>
          </cell>
        </row>
        <row r="931">
          <cell r="A931" t="str">
            <v>001.17.02340</v>
          </cell>
          <cell r="B931" t="str">
            <v>Fornecimento e instalação de luva pvc 1"""""""" p/ eletruduto roscável</v>
          </cell>
          <cell r="C931" t="str">
            <v>UN</v>
          </cell>
          <cell r="D931">
            <v>1.0688</v>
          </cell>
        </row>
        <row r="932">
          <cell r="A932" t="str">
            <v>001.17.02360</v>
          </cell>
          <cell r="B932" t="str">
            <v>Fornecimento e instalação de luva pvc 1 1/4"""""""" p/ eletroduto roscável</v>
          </cell>
          <cell r="C932" t="str">
            <v>UN</v>
          </cell>
          <cell r="D932">
            <v>1.4562999999999999</v>
          </cell>
        </row>
        <row r="933">
          <cell r="A933" t="str">
            <v>001.17.02380</v>
          </cell>
          <cell r="B933" t="str">
            <v>Fornecimento e instalação de luva pvc 1 1/2"""""""" p/ eletroduto roscável</v>
          </cell>
          <cell r="C933" t="str">
            <v>UN</v>
          </cell>
          <cell r="D933">
            <v>1.6563000000000001</v>
          </cell>
        </row>
        <row r="934">
          <cell r="A934" t="str">
            <v>001.17.02400</v>
          </cell>
          <cell r="B934" t="str">
            <v>Fornecimento e instalação de luva pvc 2"""""""" p/ eletroduto roscável</v>
          </cell>
          <cell r="C934" t="str">
            <v>UN</v>
          </cell>
          <cell r="D934">
            <v>2.5063</v>
          </cell>
        </row>
        <row r="935">
          <cell r="A935" t="str">
            <v>001.17.02420</v>
          </cell>
          <cell r="B935" t="str">
            <v>Fornecimento e instalação de luva pvc 2 1/2"""""""" p/ eletroduto roscável</v>
          </cell>
          <cell r="C935" t="str">
            <v>UN</v>
          </cell>
          <cell r="D935">
            <v>6.0575000000000001</v>
          </cell>
        </row>
        <row r="936">
          <cell r="A936" t="str">
            <v>001.17.02440</v>
          </cell>
          <cell r="B936" t="str">
            <v>Fornecimento e instalação de luva pvc 3"""""""" p/ eletroduto roscável</v>
          </cell>
          <cell r="C936" t="str">
            <v>UN</v>
          </cell>
          <cell r="D936">
            <v>6.1375000000000002</v>
          </cell>
        </row>
        <row r="937">
          <cell r="A937" t="str">
            <v>001.17.02460</v>
          </cell>
          <cell r="B937" t="str">
            <v>Fornecimento e instalação de luva pvc 4"""""""" p/ eletroduto roscável</v>
          </cell>
          <cell r="C937" t="str">
            <v>UN</v>
          </cell>
          <cell r="D937">
            <v>14.9375</v>
          </cell>
        </row>
        <row r="938">
          <cell r="A938" t="str">
            <v>001.17.02480</v>
          </cell>
          <cell r="B938" t="str">
            <v>Fornecimento e instalação de braçadeira 3/4"""""""" p/ eletroduto</v>
          </cell>
          <cell r="C938" t="str">
            <v>UN</v>
          </cell>
          <cell r="D938">
            <v>1.5174000000000001</v>
          </cell>
        </row>
        <row r="939">
          <cell r="A939" t="str">
            <v>001.17.02500</v>
          </cell>
          <cell r="B939" t="str">
            <v>Fornecimento e instalação de braçadeira 1"""""""" p/ eletroduto</v>
          </cell>
          <cell r="C939" t="str">
            <v>UN</v>
          </cell>
          <cell r="D939">
            <v>2.0760000000000001</v>
          </cell>
        </row>
        <row r="940">
          <cell r="A940" t="str">
            <v>001.17.02520</v>
          </cell>
          <cell r="B940" t="str">
            <v>Fornecimento e instalação de braçadeira 1/2"""""""" p/ eletroduto</v>
          </cell>
          <cell r="C940" t="str">
            <v>UN</v>
          </cell>
          <cell r="D940">
            <v>1.0873999999999999</v>
          </cell>
        </row>
        <row r="941">
          <cell r="A941" t="str">
            <v>001.17.02540</v>
          </cell>
          <cell r="B941" t="str">
            <v>Fornecimento e instalação de braçadeira 2"""""""" p/ eletroduto</v>
          </cell>
          <cell r="C941" t="str">
            <v>UN</v>
          </cell>
          <cell r="D941">
            <v>3.4148000000000001</v>
          </cell>
        </row>
        <row r="942">
          <cell r="A942" t="str">
            <v>001.17.02560</v>
          </cell>
          <cell r="B942" t="str">
            <v>Fornecimento e instalação de braçadeira p/ eletroduto tipo unha de pvc, c/01 parafuso de d=25 mm (3/4"""""""")</v>
          </cell>
          <cell r="C942" t="str">
            <v>UN</v>
          </cell>
          <cell r="D942">
            <v>1.5174000000000001</v>
          </cell>
        </row>
        <row r="943">
          <cell r="A943" t="str">
            <v>001.17.02580</v>
          </cell>
          <cell r="B943" t="str">
            <v>Fornecimento e instalação de curva de ferro galvanizado de 135º diâm. 4""""""""</v>
          </cell>
          <cell r="C943" t="str">
            <v>UN</v>
          </cell>
          <cell r="D943">
            <v>82.183000000000007</v>
          </cell>
        </row>
        <row r="944">
          <cell r="A944" t="str">
            <v>001.17.02600</v>
          </cell>
          <cell r="B944" t="str">
            <v>Fornecimento e instalação de curva de ferro galvanizado de 135º diâm. 3""""""""</v>
          </cell>
          <cell r="C944" t="str">
            <v>UN</v>
          </cell>
          <cell r="D944">
            <v>47.240900000000003</v>
          </cell>
        </row>
        <row r="945">
          <cell r="A945" t="str">
            <v>001.17.02620</v>
          </cell>
          <cell r="B945" t="str">
            <v>Fornecimento e instalação de curva de ferro galvanizado de 135º diâm. 2 1/2""""""""</v>
          </cell>
          <cell r="C945" t="str">
            <v>UN</v>
          </cell>
          <cell r="D945">
            <v>35.663899999999998</v>
          </cell>
        </row>
        <row r="946">
          <cell r="A946" t="str">
            <v>001.17.02640</v>
          </cell>
          <cell r="B946" t="str">
            <v>Fornecimento e instalação de curva de ferro galvanizado de 135º diâm. 2""""""""</v>
          </cell>
          <cell r="C946" t="str">
            <v>UN</v>
          </cell>
          <cell r="D946">
            <v>23.131699999999999</v>
          </cell>
        </row>
        <row r="947">
          <cell r="A947" t="str">
            <v>001.17.02660</v>
          </cell>
          <cell r="B947" t="str">
            <v>Fornecimento e instalação de curva de ferro galvanizado de 135º diâm. 1 1/2""""""""</v>
          </cell>
          <cell r="C947" t="str">
            <v>UN</v>
          </cell>
          <cell r="D947">
            <v>15.5609</v>
          </cell>
        </row>
        <row r="948">
          <cell r="A948" t="str">
            <v>001.17.02680</v>
          </cell>
          <cell r="B948" t="str">
            <v>Fornecimento e instalação de curva de ferro galvanizado de 135º diâm. 1 1/4'</v>
          </cell>
          <cell r="C948" t="str">
            <v>UN</v>
          </cell>
          <cell r="D948">
            <v>8.7721999999999998</v>
          </cell>
        </row>
        <row r="949">
          <cell r="A949" t="str">
            <v>001.17.02700</v>
          </cell>
          <cell r="B949" t="str">
            <v>Fornecimento e instalação de curva de ferro galvanizado de 135º diâm. 1""""""""</v>
          </cell>
          <cell r="C949" t="str">
            <v>UN</v>
          </cell>
          <cell r="D949">
            <v>5.2544000000000004</v>
          </cell>
        </row>
        <row r="950">
          <cell r="A950" t="str">
            <v>001.17.02720</v>
          </cell>
          <cell r="B950" t="str">
            <v>Fornecimento e instalação de curva de ferro galvanizado de 135º diâm. 3/4'</v>
          </cell>
          <cell r="C950" t="str">
            <v>UN</v>
          </cell>
          <cell r="D950">
            <v>3.3826000000000001</v>
          </cell>
        </row>
        <row r="951">
          <cell r="A951" t="str">
            <v>001.17.02740</v>
          </cell>
          <cell r="B951" t="str">
            <v>Fornecimento e instalação de curva de ferro galvanizado de 90º diâm. 3""""""""</v>
          </cell>
          <cell r="C951" t="str">
            <v>UN</v>
          </cell>
          <cell r="D951">
            <v>48.075099999999999</v>
          </cell>
        </row>
        <row r="952">
          <cell r="A952" t="str">
            <v>001.17.02760</v>
          </cell>
          <cell r="B952" t="str">
            <v>Fornecimento e instalação de curva de ferro galvanizado de 90º diâm. 2 1/2""""""""</v>
          </cell>
          <cell r="C952" t="str">
            <v>UN</v>
          </cell>
          <cell r="D952">
            <v>23.665099999999999</v>
          </cell>
        </row>
        <row r="953">
          <cell r="A953" t="str">
            <v>001.17.02780</v>
          </cell>
          <cell r="B953" t="str">
            <v>Fornecimento e instalação de curva de ferro galvanizado de 90º diâm. 2""""""""</v>
          </cell>
          <cell r="C953" t="str">
            <v>UN</v>
          </cell>
          <cell r="D953">
            <v>18.676300000000001</v>
          </cell>
        </row>
        <row r="954">
          <cell r="A954" t="str">
            <v>001.17.02800</v>
          </cell>
          <cell r="B954" t="str">
            <v>Fornecimento e instalação de curva de ferro galvanizado de 90º diâm. 1 1/2""""""""</v>
          </cell>
          <cell r="C954" t="str">
            <v>UN</v>
          </cell>
          <cell r="D954">
            <v>10.206300000000001</v>
          </cell>
        </row>
        <row r="955">
          <cell r="A955" t="str">
            <v>001.17.02820</v>
          </cell>
          <cell r="B955" t="str">
            <v>Fornecimento e instalação de curva de ferro galvanizado de 90º diâm. 1 1/4""""""""</v>
          </cell>
          <cell r="C955" t="str">
            <v>UN</v>
          </cell>
          <cell r="D955">
            <v>8.1163000000000007</v>
          </cell>
        </row>
        <row r="956">
          <cell r="A956" t="str">
            <v>001.17.02840</v>
          </cell>
          <cell r="B956" t="str">
            <v>Fornecimento e instalação de curva de ferro galvanizado de 90º diâm. 1""""""""</v>
          </cell>
          <cell r="C956" t="str">
            <v>UN</v>
          </cell>
          <cell r="D956">
            <v>4.3475000000000001</v>
          </cell>
        </row>
        <row r="957">
          <cell r="A957" t="str">
            <v>001.17.02860</v>
          </cell>
          <cell r="B957" t="str">
            <v>Fornecimento e instalação de curva de ferro galvanizado de 90º diâm. 3/4""""""""</v>
          </cell>
          <cell r="C957" t="str">
            <v>UN</v>
          </cell>
          <cell r="D957">
            <v>3.4674999999999998</v>
          </cell>
        </row>
        <row r="958">
          <cell r="A958" t="str">
            <v>001.17.02880</v>
          </cell>
          <cell r="B958" t="str">
            <v>Fornecimento e instalação de curva de ferro galvanizado de 90º diâm. 1/2""""""""</v>
          </cell>
          <cell r="C958" t="str">
            <v>UN</v>
          </cell>
          <cell r="D958">
            <v>2.8075000000000001</v>
          </cell>
        </row>
        <row r="959">
          <cell r="A959" t="str">
            <v>001.17.02940</v>
          </cell>
          <cell r="B959" t="str">
            <v>Fornecimento e instalação de luva de ferro galvanizado  1/2""""""""</v>
          </cell>
          <cell r="C959" t="str">
            <v>UN</v>
          </cell>
          <cell r="D959">
            <v>1.4588000000000001</v>
          </cell>
        </row>
        <row r="960">
          <cell r="A960" t="str">
            <v>001.17.02960</v>
          </cell>
          <cell r="B960" t="str">
            <v>Fornecimento e instalação de luva de ferro galvanizado  3/4""""""""</v>
          </cell>
          <cell r="C960" t="str">
            <v>UN</v>
          </cell>
          <cell r="D960">
            <v>1.5688</v>
          </cell>
        </row>
        <row r="961">
          <cell r="A961" t="str">
            <v>001.17.02980</v>
          </cell>
          <cell r="B961" t="str">
            <v>Fornecimento e instalação de luva de ferro galvanizado  1""""""""</v>
          </cell>
          <cell r="C961" t="str">
            <v>UN</v>
          </cell>
          <cell r="D961">
            <v>1.8988</v>
          </cell>
        </row>
        <row r="962">
          <cell r="A962" t="str">
            <v>001.17.03000</v>
          </cell>
          <cell r="B962" t="str">
            <v>Fornecimento e instalação de luva de ferro galvanizado  1 1/4""""""""</v>
          </cell>
          <cell r="C962" t="str">
            <v>UN</v>
          </cell>
          <cell r="D962">
            <v>2.9662999999999999</v>
          </cell>
        </row>
        <row r="963">
          <cell r="A963" t="str">
            <v>001.17.03020</v>
          </cell>
          <cell r="B963" t="str">
            <v>Fornecimento e instalação de luva de ferro galvanizado  1 1/2</v>
          </cell>
          <cell r="C963" t="str">
            <v>UN</v>
          </cell>
          <cell r="D963">
            <v>3.5163000000000002</v>
          </cell>
        </row>
        <row r="964">
          <cell r="A964" t="str">
            <v>001.17.03040</v>
          </cell>
          <cell r="B964" t="str">
            <v>Fornecimento e instalação de luva de ferro galvanizado  2""""""""</v>
          </cell>
          <cell r="C964" t="str">
            <v>UN</v>
          </cell>
          <cell r="D964">
            <v>5.8262999999999998</v>
          </cell>
        </row>
        <row r="965">
          <cell r="A965" t="str">
            <v>001.17.03060</v>
          </cell>
          <cell r="B965" t="str">
            <v>Fornecimento e instalação de luva de ferro galvanizado  2 1/2""""""""</v>
          </cell>
          <cell r="C965" t="str">
            <v>UN</v>
          </cell>
          <cell r="D965">
            <v>5.8174999999999999</v>
          </cell>
        </row>
        <row r="966">
          <cell r="A966" t="str">
            <v>001.17.03080</v>
          </cell>
          <cell r="B966" t="str">
            <v>Fornecimento e instalação de luva de ferro galvanizado  3""""""""</v>
          </cell>
          <cell r="C966" t="str">
            <v>UN</v>
          </cell>
          <cell r="D966">
            <v>7.7575000000000003</v>
          </cell>
        </row>
        <row r="967">
          <cell r="A967" t="str">
            <v>001.17.03100</v>
          </cell>
          <cell r="B967" t="str">
            <v>Fornecimento e instalação de luva de ferro galvanizado  4""""""""</v>
          </cell>
          <cell r="C967" t="str">
            <v>UN</v>
          </cell>
          <cell r="D967">
            <v>10.8375</v>
          </cell>
        </row>
        <row r="968">
          <cell r="A968" t="str">
            <v>001.17.03103</v>
          </cell>
          <cell r="B968" t="str">
            <v>Fornecimento e Instalação de Bucha e Arruela D.1/2 pol p/ Eletroduto - Alumínio</v>
          </cell>
          <cell r="C968" t="str">
            <v>UN</v>
          </cell>
          <cell r="D968">
            <v>0.57350000000000001</v>
          </cell>
        </row>
        <row r="969">
          <cell r="A969" t="str">
            <v>001.17.03104</v>
          </cell>
          <cell r="B969" t="str">
            <v>Fornecimento e Instalação de Bucha e Arruela D.3/4pol p/ Eletroduto - Alumínio</v>
          </cell>
          <cell r="C969" t="str">
            <v>UN</v>
          </cell>
          <cell r="D969">
            <v>0.60750000000000004</v>
          </cell>
        </row>
        <row r="970">
          <cell r="A970" t="str">
            <v>001.17.03105</v>
          </cell>
          <cell r="B970" t="str">
            <v>Fornecimento e Instalação de Bucha e Arruela D.1pol p/ Eletroduto - Alumínio</v>
          </cell>
          <cell r="C970" t="str">
            <v>UN</v>
          </cell>
          <cell r="D970">
            <v>0.84750000000000003</v>
          </cell>
        </row>
        <row r="971">
          <cell r="A971" t="str">
            <v>001.17.03106</v>
          </cell>
          <cell r="B971" t="str">
            <v>Fornecimento e Instalação de Bucha e Arruela D 1.5pol p/ Eletroduto - Alumínio</v>
          </cell>
          <cell r="C971" t="str">
            <v>UN</v>
          </cell>
          <cell r="D971">
            <v>1.5149999999999999</v>
          </cell>
        </row>
        <row r="972">
          <cell r="A972" t="str">
            <v>001.17.03107</v>
          </cell>
          <cell r="B972" t="str">
            <v>Fornecimento e Instalação de Bucha e Arruela D.2pol p/ Eletroduto - Alumínio</v>
          </cell>
          <cell r="C972" t="str">
            <v>UN</v>
          </cell>
          <cell r="D972">
            <v>2.0550000000000002</v>
          </cell>
        </row>
        <row r="973">
          <cell r="A973" t="str">
            <v>001.17.03108</v>
          </cell>
          <cell r="B973" t="str">
            <v>Fornecimento e Instalação de Bucha e Arruela D.2.5pol p/ Eletroduto - Alumínio</v>
          </cell>
          <cell r="C973" t="str">
            <v>UN</v>
          </cell>
          <cell r="D973">
            <v>3.7174999999999998</v>
          </cell>
        </row>
        <row r="974">
          <cell r="A974" t="str">
            <v>001.17.03109</v>
          </cell>
          <cell r="B974" t="str">
            <v>Fornecimento e Instalação de Bucha e Arruela D.3pol p/ Eletroduto - Alumínio</v>
          </cell>
          <cell r="C974" t="str">
            <v>UN</v>
          </cell>
          <cell r="D974">
            <v>4.0575000000000001</v>
          </cell>
        </row>
        <row r="975">
          <cell r="A975" t="str">
            <v>001.17.03110</v>
          </cell>
          <cell r="B975" t="str">
            <v>Fornecimento e Instalação de Bucha e Arruela D.4pol p/ Eletroduto - Alumínio</v>
          </cell>
          <cell r="C975" t="str">
            <v>UN</v>
          </cell>
          <cell r="D975">
            <v>6.4574999999999996</v>
          </cell>
        </row>
        <row r="976">
          <cell r="A976" t="str">
            <v>001.17.03115</v>
          </cell>
          <cell r="B976" t="str">
            <v>Fornecimento e Instalação de Condulete de Alumínio Tipo """"C"""", S/ Tampa, 1/2""""</v>
          </cell>
          <cell r="C976" t="str">
            <v>UN</v>
          </cell>
          <cell r="D976">
            <v>5.7950999999999997</v>
          </cell>
        </row>
        <row r="977">
          <cell r="A977" t="str">
            <v>001.17.03117</v>
          </cell>
          <cell r="B977" t="str">
            <v>Fornecimento e Instalação de Condulete de Alumínio Tipo """"C"""", S/ Tampa, 3/4""""</v>
          </cell>
          <cell r="C977" t="str">
            <v>UN</v>
          </cell>
          <cell r="D977">
            <v>5.7950999999999997</v>
          </cell>
        </row>
        <row r="978">
          <cell r="A978" t="str">
            <v>001.17.03119</v>
          </cell>
          <cell r="B978" t="str">
            <v>Fornecimento e Instalação de Condulete de Alumínio Tipo """"C"""", S/ Tampa, 1""""</v>
          </cell>
          <cell r="C978" t="str">
            <v>UN</v>
          </cell>
          <cell r="D978">
            <v>8.5251000000000001</v>
          </cell>
        </row>
        <row r="979">
          <cell r="A979" t="str">
            <v>001.17.03121</v>
          </cell>
          <cell r="B979" t="str">
            <v>Fornecimento e Instalação de Condulete de Alumínio Tipo """"C"""", C/ Tampa, 1 1/4""""</v>
          </cell>
          <cell r="C979" t="str">
            <v>UN</v>
          </cell>
          <cell r="D979">
            <v>14.661300000000001</v>
          </cell>
        </row>
        <row r="980">
          <cell r="A980" t="str">
            <v>001.17.03123</v>
          </cell>
          <cell r="B980" t="str">
            <v>Fornecimento e Instalação de Condulete de Alumínio Tipo """"C"""", C/ Tampa, 1 1/2""""</v>
          </cell>
          <cell r="C980" t="str">
            <v>UN</v>
          </cell>
          <cell r="D980">
            <v>19.691299999999998</v>
          </cell>
        </row>
        <row r="981">
          <cell r="A981" t="str">
            <v>001.17.03125</v>
          </cell>
          <cell r="B981" t="str">
            <v>Fornecimento e Instalação de Condulete de Alumínio Tipo """"C"""", C/ Tampa, 2""""</v>
          </cell>
          <cell r="C981" t="str">
            <v>UN</v>
          </cell>
          <cell r="D981">
            <v>27.211300000000001</v>
          </cell>
        </row>
        <row r="982">
          <cell r="A982" t="str">
            <v>001.17.03127</v>
          </cell>
          <cell r="B982" t="str">
            <v>Fornecimento e Instalação de Condulete de Alumínio Tipo """"C"""", C/ Tampa, 2  1/2""""</v>
          </cell>
          <cell r="C982" t="str">
            <v>UN</v>
          </cell>
          <cell r="D982">
            <v>55.011299999999999</v>
          </cell>
        </row>
        <row r="983">
          <cell r="A983" t="str">
            <v>001.17.03129</v>
          </cell>
          <cell r="B983" t="str">
            <v>Fornecimento e Instalação de Condulete de Alumínio Tipo """"E"""", S/ Tampa, 1/2""""</v>
          </cell>
          <cell r="C983" t="str">
            <v>UN</v>
          </cell>
          <cell r="D983">
            <v>5.4451000000000001</v>
          </cell>
        </row>
        <row r="984">
          <cell r="A984" t="str">
            <v>001.17.03131</v>
          </cell>
          <cell r="B984" t="str">
            <v>Fornecimento e Instalação de Condulete de Alumínio Tipo """"E"""", S/ Tampa, 3/4""""</v>
          </cell>
          <cell r="C984" t="str">
            <v>UN</v>
          </cell>
          <cell r="D984">
            <v>5.4451000000000001</v>
          </cell>
        </row>
        <row r="985">
          <cell r="A985" t="str">
            <v>001.17.03133</v>
          </cell>
          <cell r="B985" t="str">
            <v>Fornecimento e Instalação de Condulete de Alumínio Tipo """"E"""", S/ Tampa, 1""""</v>
          </cell>
          <cell r="C985" t="str">
            <v>UN</v>
          </cell>
          <cell r="D985">
            <v>7.5951000000000004</v>
          </cell>
        </row>
        <row r="986">
          <cell r="A986" t="str">
            <v>001.17.03135</v>
          </cell>
          <cell r="B986" t="str">
            <v>Fornecimento e Instalação de Condulete de Alumínio Tipo """"E"""", C/ Tampa, 1 1/4""""</v>
          </cell>
          <cell r="C986" t="str">
            <v>UN</v>
          </cell>
          <cell r="D986">
            <v>13.6313</v>
          </cell>
        </row>
        <row r="987">
          <cell r="A987" t="str">
            <v>001.17.03137</v>
          </cell>
          <cell r="B987" t="str">
            <v>Fornecimento e Instalação de Condulete de Alumínio Tipo """"E"""", C/ Tampa, 1 1/2""""</v>
          </cell>
          <cell r="C987" t="str">
            <v>UN</v>
          </cell>
          <cell r="D987">
            <v>18.641300000000001</v>
          </cell>
        </row>
        <row r="988">
          <cell r="A988" t="str">
            <v>001.17.03139</v>
          </cell>
          <cell r="B988" t="str">
            <v>Fornecimento e Instalação de Condulete de Alumínio Tipo """"E"""", C/ Tampa, 2""""</v>
          </cell>
          <cell r="C988" t="str">
            <v>UN</v>
          </cell>
          <cell r="D988">
            <v>26.311299999999999</v>
          </cell>
        </row>
        <row r="989">
          <cell r="A989" t="str">
            <v>001.17.03141</v>
          </cell>
          <cell r="B989" t="str">
            <v>Fornecimento e Instalação de Condulete de Alumínio Tipo """"E"""", C/ Tampa, 2  1/2""""</v>
          </cell>
          <cell r="C989" t="str">
            <v>UN</v>
          </cell>
          <cell r="D989">
            <v>55.011299999999999</v>
          </cell>
        </row>
        <row r="990">
          <cell r="A990" t="str">
            <v>001.17.03143</v>
          </cell>
          <cell r="B990" t="str">
            <v>Fornecimento e Instalação de Condulete de Alumínio Tipo """"LL"""",""""LB"""", """"LR"""", S/ Tampa, 1/2""""</v>
          </cell>
          <cell r="C990" t="str">
            <v>UN</v>
          </cell>
          <cell r="D990">
            <v>5.7950999999999997</v>
          </cell>
        </row>
        <row r="991">
          <cell r="A991" t="str">
            <v>001.17.03145</v>
          </cell>
          <cell r="B991" t="str">
            <v>Fornecimento e Instalação de Condulete de Alumínio Tipo """"LL"""",""""LB"""", """"LR"""", S/ Tampa, 3/4""""</v>
          </cell>
          <cell r="C991" t="str">
            <v>UN</v>
          </cell>
          <cell r="D991">
            <v>5.7950999999999997</v>
          </cell>
        </row>
        <row r="992">
          <cell r="A992" t="str">
            <v>001.17.03147</v>
          </cell>
          <cell r="B992" t="str">
            <v>Fornecimento e Instalação de Condulete de Alumínio Tipo  """"LL"""",""""LB"""", """"LR"""", S/ Tampa, 1""""</v>
          </cell>
          <cell r="C992" t="str">
            <v>UN</v>
          </cell>
          <cell r="D992">
            <v>8.5251000000000001</v>
          </cell>
        </row>
        <row r="993">
          <cell r="A993" t="str">
            <v>001.17.03149</v>
          </cell>
          <cell r="B993" t="str">
            <v>Fornecimento e Instalação de Condulete de Alumínio Tipo """"LL"""",""""LB"""", """"LR"""", C/ Tampa, 1 1/4""""</v>
          </cell>
          <cell r="C993" t="str">
            <v>UN</v>
          </cell>
          <cell r="D993">
            <v>14.661300000000001</v>
          </cell>
        </row>
        <row r="994">
          <cell r="A994" t="str">
            <v>001.17.03151</v>
          </cell>
          <cell r="B994" t="str">
            <v>Fornecimento e Instalação de Condulete de Alumínio Tipo  """"LL"""",""""LB"""", """"LR"""", C/ Tampa, 1 1/2""""</v>
          </cell>
          <cell r="C994" t="str">
            <v>UN</v>
          </cell>
          <cell r="D994">
            <v>19.691299999999998</v>
          </cell>
        </row>
        <row r="995">
          <cell r="A995" t="str">
            <v>001.17.03153</v>
          </cell>
          <cell r="B995" t="str">
            <v>Fornecimento e Instalação de Condulete de Alumínio Tipo  """"LL"""",""""LB"""", """"LR"""", C/ Tampa, 2""""</v>
          </cell>
          <cell r="C995" t="str">
            <v>UN</v>
          </cell>
          <cell r="D995">
            <v>27.211300000000001</v>
          </cell>
        </row>
        <row r="996">
          <cell r="A996" t="str">
            <v>001.17.03155</v>
          </cell>
          <cell r="B996" t="str">
            <v>Fornecimento e Instalação de Condulete de Alumínio Tipo  """"LL"""",""""LB"""", """"LR"""", C/ Tampa, 2  1/2""""</v>
          </cell>
          <cell r="C996" t="str">
            <v>UN</v>
          </cell>
          <cell r="D996">
            <v>55.271299999999997</v>
          </cell>
        </row>
        <row r="997">
          <cell r="A997" t="str">
            <v>001.17.03157</v>
          </cell>
          <cell r="B997" t="str">
            <v>Fornecimento e Instalação de Condulete de Alumínio Tipo """"TB"""", S/ Tampa, 1/2""""</v>
          </cell>
          <cell r="C997" t="str">
            <v>UN</v>
          </cell>
          <cell r="D997">
            <v>6.4939</v>
          </cell>
        </row>
        <row r="998">
          <cell r="A998" t="str">
            <v>001.17.03159</v>
          </cell>
          <cell r="B998" t="str">
            <v>Fornecimento e Instalação de Condulete de Alumínio Tipo """"TB"""", S/ Tampa, 3/4""""</v>
          </cell>
          <cell r="C998" t="str">
            <v>UN</v>
          </cell>
          <cell r="D998">
            <v>6.4939</v>
          </cell>
        </row>
        <row r="999">
          <cell r="A999" t="str">
            <v>001.17.03161</v>
          </cell>
          <cell r="B999" t="str">
            <v>Fornecimento e Instalação de Condulete de Alumínio Tipo """"TB"""", S/ Tampa, 1""""</v>
          </cell>
          <cell r="C999" t="str">
            <v>UN</v>
          </cell>
          <cell r="D999">
            <v>9.5439000000000007</v>
          </cell>
        </row>
        <row r="1000">
          <cell r="A1000" t="str">
            <v>001.17.03163</v>
          </cell>
          <cell r="B1000" t="str">
            <v>Fornecimento e Instalação de Condulete de Alumínio Tipo """"TB"""", C/ Tampa, 1 1/4""""</v>
          </cell>
          <cell r="C1000" t="str">
            <v>UN</v>
          </cell>
          <cell r="D1000">
            <v>16.330100000000002</v>
          </cell>
        </row>
        <row r="1001">
          <cell r="A1001" t="str">
            <v>001.17.03165</v>
          </cell>
          <cell r="B1001" t="str">
            <v>Fornecimento e Instalação de Condulete de Alumínio Tipo """"TB"""", C/ Tampa, 1 1/2""""</v>
          </cell>
          <cell r="C1001" t="str">
            <v>UN</v>
          </cell>
          <cell r="D1001">
            <v>22.030100000000001</v>
          </cell>
        </row>
        <row r="1002">
          <cell r="A1002" t="str">
            <v>001.17.03166</v>
          </cell>
          <cell r="B1002" t="str">
            <v>Fornecimento e Instalação de Condulete de Alumínio Tipo """"TB"""", C/ Tampa, 2""""</v>
          </cell>
          <cell r="C1002" t="str">
            <v>UN</v>
          </cell>
          <cell r="D1002">
            <v>29.5501</v>
          </cell>
        </row>
        <row r="1003">
          <cell r="A1003" t="str">
            <v>001.17.03167</v>
          </cell>
          <cell r="B1003" t="str">
            <v>Fornecimento e Instalação de Condulete de Alumínio Tipo """"TB"""", C/ Tampa, 2  1/2""""</v>
          </cell>
          <cell r="C1003" t="str">
            <v>UN</v>
          </cell>
          <cell r="D1003">
            <v>59.510100000000001</v>
          </cell>
        </row>
        <row r="1004">
          <cell r="A1004" t="str">
            <v>001.17.03168</v>
          </cell>
          <cell r="B1004" t="str">
            <v>Fornecimento e Instalação de Condulete de Alumínio Tipo """"X"""", S/ Tampa, 1/2""""</v>
          </cell>
          <cell r="C1004" t="str">
            <v>UN</v>
          </cell>
          <cell r="D1004">
            <v>6.3350999999999997</v>
          </cell>
        </row>
        <row r="1005">
          <cell r="A1005" t="str">
            <v>001.17.03169</v>
          </cell>
          <cell r="B1005" t="str">
            <v>Fornecimento e Instalação de Condulete de Alumínio Tipo """"X"""", S/ Tampa, 3/4""""</v>
          </cell>
          <cell r="C1005" t="str">
            <v>UN</v>
          </cell>
          <cell r="D1005">
            <v>6.3350999999999997</v>
          </cell>
        </row>
        <row r="1006">
          <cell r="A1006" t="str">
            <v>001.17.03170</v>
          </cell>
          <cell r="B1006" t="str">
            <v>Fornecimento e Instalação de Condulete de Alumínio Tipo """"X"""", S/ Tampa, 1""""</v>
          </cell>
          <cell r="C1006" t="str">
            <v>UN</v>
          </cell>
          <cell r="D1006">
            <v>9.3651</v>
          </cell>
        </row>
        <row r="1007">
          <cell r="A1007" t="str">
            <v>001.17.03171</v>
          </cell>
          <cell r="B1007" t="str">
            <v>Fornecimento e Instalação de Condulete de Alumínio Tipo """"X"""", C/ Tampa, 1 1/4""""</v>
          </cell>
          <cell r="C1007" t="str">
            <v>UN</v>
          </cell>
          <cell r="D1007">
            <v>16.421299999999999</v>
          </cell>
        </row>
        <row r="1008">
          <cell r="A1008" t="str">
            <v>001.17.03172</v>
          </cell>
          <cell r="B1008" t="str">
            <v>Fornecimento e Instalação de Condulete de Alumínio Tipo """"X"""", C/ Tampa, 1 1/2""""</v>
          </cell>
          <cell r="C1008" t="str">
            <v>UN</v>
          </cell>
          <cell r="D1008">
            <v>23.3813</v>
          </cell>
        </row>
        <row r="1009">
          <cell r="A1009" t="str">
            <v>001.17.03173</v>
          </cell>
          <cell r="B1009" t="str">
            <v>Fornecimento e Instalação de Condulete de Alumínio Tipo """"X"""", C/ Tampa, 2""""</v>
          </cell>
          <cell r="C1009" t="str">
            <v>UN</v>
          </cell>
          <cell r="D1009">
            <v>31.321300000000001</v>
          </cell>
        </row>
        <row r="1010">
          <cell r="A1010" t="str">
            <v>001.17.03174</v>
          </cell>
          <cell r="B1010" t="str">
            <v>Fornecimento e Instalação de Condulete de Alumínio Tipo """"X"""", C/ Tampa, 2  1/2""""</v>
          </cell>
          <cell r="C1010" t="str">
            <v>UN</v>
          </cell>
          <cell r="D1010">
            <v>59.0413</v>
          </cell>
        </row>
        <row r="1011">
          <cell r="A1011" t="str">
            <v>001.17.03175</v>
          </cell>
          <cell r="B1011" t="str">
            <v>Fornecimento e Instalação de Tampa de Alumínio 1/2"""" e 3/4"""" 1 P</v>
          </cell>
          <cell r="C1011" t="str">
            <v>UN</v>
          </cell>
          <cell r="D1011">
            <v>1.7963</v>
          </cell>
        </row>
        <row r="1012">
          <cell r="A1012" t="str">
            <v>001.17.03176</v>
          </cell>
          <cell r="B1012" t="str">
            <v>Fornecimento e Instalação de Tampa de Alumínio 1/2"""" e 3/4"""" 1 P Red.</v>
          </cell>
          <cell r="C1012" t="str">
            <v>UN</v>
          </cell>
          <cell r="D1012">
            <v>1.7963</v>
          </cell>
        </row>
        <row r="1013">
          <cell r="A1013" t="str">
            <v>001.17.03177</v>
          </cell>
          <cell r="B1013" t="str">
            <v>Fornecimento e Instalação de Tampa de Alumínio 1/2"""" e 3/4"""" 1 P RJ 45</v>
          </cell>
          <cell r="C1013" t="str">
            <v>UN</v>
          </cell>
          <cell r="D1013">
            <v>1.7963</v>
          </cell>
        </row>
        <row r="1014">
          <cell r="A1014" t="str">
            <v>001.17.03178</v>
          </cell>
          <cell r="B1014" t="str">
            <v>Fornecimento e Instalação de Tampa de Alumínio 1/2"""" e 3/4"""" 2 P</v>
          </cell>
          <cell r="C1014" t="str">
            <v>UN</v>
          </cell>
          <cell r="D1014">
            <v>1.7963</v>
          </cell>
        </row>
        <row r="1015">
          <cell r="A1015" t="str">
            <v>001.17.03179</v>
          </cell>
          <cell r="B1015" t="str">
            <v>Fornecimento e Instalação de Tampa de Alumínio 1/2"""" e 3/4"""" 2 P Sep.</v>
          </cell>
          <cell r="C1015" t="str">
            <v>UN</v>
          </cell>
          <cell r="D1015">
            <v>1.7963</v>
          </cell>
        </row>
        <row r="1016">
          <cell r="A1016" t="str">
            <v>001.17.03181</v>
          </cell>
          <cell r="B1016" t="str">
            <v>Fornecimento e Instalação de Tampa de Alumínio 1/2"""" e 3/4"""" 2 P RJ 45</v>
          </cell>
          <cell r="C1016" t="str">
            <v>UN</v>
          </cell>
          <cell r="D1016">
            <v>1.7963</v>
          </cell>
        </row>
        <row r="1017">
          <cell r="A1017" t="str">
            <v>001.17.03183</v>
          </cell>
          <cell r="B1017" t="str">
            <v>Fornecimento e Instalação de Tampa de Alumínio 1/2"""" e 3/4"""" 3 P</v>
          </cell>
          <cell r="C1017" t="str">
            <v>UN</v>
          </cell>
          <cell r="D1017">
            <v>1.7963</v>
          </cell>
        </row>
        <row r="1018">
          <cell r="A1018" t="str">
            <v>001.17.03185</v>
          </cell>
          <cell r="B1018" t="str">
            <v>Fornecimento e Instalação de Tampa de Alumínio 1/2"""" e 3/4"""" Cega</v>
          </cell>
          <cell r="C1018" t="str">
            <v>UN</v>
          </cell>
          <cell r="D1018">
            <v>1.7963</v>
          </cell>
        </row>
        <row r="1019">
          <cell r="A1019" t="str">
            <v>001.17.03187</v>
          </cell>
          <cell r="B1019" t="str">
            <v>Fornecimento e Instalação de Tampa de Alumínio 1"""" 1 P</v>
          </cell>
          <cell r="C1019" t="str">
            <v>UN</v>
          </cell>
          <cell r="D1019">
            <v>2.2763</v>
          </cell>
        </row>
        <row r="1020">
          <cell r="A1020" t="str">
            <v>001.17.03189</v>
          </cell>
          <cell r="B1020" t="str">
            <v>Fornecimento e Instalação de Tampa de Alumínio 1"""" 1 P Red.</v>
          </cell>
          <cell r="C1020" t="str">
            <v>UN</v>
          </cell>
          <cell r="D1020">
            <v>2.2763</v>
          </cell>
        </row>
        <row r="1021">
          <cell r="A1021" t="str">
            <v>001.17.03191</v>
          </cell>
          <cell r="B1021" t="str">
            <v>Fornecimento e Instalação de Tampa de Alumínio 1"""" 1 P RJ 45</v>
          </cell>
          <cell r="C1021" t="str">
            <v>UN</v>
          </cell>
          <cell r="D1021">
            <v>2.2763</v>
          </cell>
        </row>
        <row r="1022">
          <cell r="A1022" t="str">
            <v>001.17.03193</v>
          </cell>
          <cell r="B1022" t="str">
            <v>Fornecimento e Instalação de Tampa de Alumínio 1"""" 2 P</v>
          </cell>
          <cell r="C1022" t="str">
            <v>UN</v>
          </cell>
          <cell r="D1022">
            <v>2.2763</v>
          </cell>
        </row>
        <row r="1023">
          <cell r="A1023" t="str">
            <v>001.17.03195</v>
          </cell>
          <cell r="B1023" t="str">
            <v>Fornecimento e Instalação de Tampa de Alumínio 1"""" 2 P Sep.</v>
          </cell>
          <cell r="C1023" t="str">
            <v>UN</v>
          </cell>
          <cell r="D1023">
            <v>2.2763</v>
          </cell>
        </row>
        <row r="1024">
          <cell r="A1024" t="str">
            <v>001.17.03197</v>
          </cell>
          <cell r="B1024" t="str">
            <v>Fornecimento e Instalação de Tampa de Alumínio 1"""" 2 P RJ 45</v>
          </cell>
          <cell r="C1024" t="str">
            <v>UN</v>
          </cell>
          <cell r="D1024">
            <v>2.2763</v>
          </cell>
        </row>
        <row r="1025">
          <cell r="A1025" t="str">
            <v>001.17.03199</v>
          </cell>
          <cell r="B1025" t="str">
            <v>Fornecimento e Instalação de Tampa de Alumínio 1"""" 3 P</v>
          </cell>
          <cell r="C1025" t="str">
            <v>UN</v>
          </cell>
          <cell r="D1025">
            <v>2.2763</v>
          </cell>
        </row>
        <row r="1026">
          <cell r="A1026" t="str">
            <v>001.17.03201</v>
          </cell>
          <cell r="B1026" t="str">
            <v>Fornecimento e Instalação de Tampa de Alumínio 1"""" Cega</v>
          </cell>
          <cell r="C1026" t="str">
            <v>UN</v>
          </cell>
          <cell r="D1026">
            <v>2.2763</v>
          </cell>
        </row>
        <row r="1027">
          <cell r="A1027" t="str">
            <v>001.17.03600</v>
          </cell>
          <cell r="B1027" t="str">
            <v>Fornecimento e instalação de caixa metálica com tampa parafusada de Embutir de 20.00x20.00x10.00 cm</v>
          </cell>
          <cell r="C1027" t="str">
            <v>UN</v>
          </cell>
          <cell r="D1027">
            <v>27.677399999999999</v>
          </cell>
        </row>
        <row r="1028">
          <cell r="A1028" t="str">
            <v>001.17.03620</v>
          </cell>
          <cell r="B1028" t="str">
            <v>Fornecimento e instalação de caixa metálica com tampa parafusada de Embutir de 25.00x25.00x12.00 cm</v>
          </cell>
          <cell r="C1028" t="str">
            <v>UN</v>
          </cell>
          <cell r="D1028">
            <v>34.0961</v>
          </cell>
        </row>
        <row r="1029">
          <cell r="A1029" t="str">
            <v>001.17.03640</v>
          </cell>
          <cell r="B1029" t="str">
            <v>Fornecimento e instalação de caixa metálica com tampa parafusada de Embutir 30.00x30.00x15.00 cm</v>
          </cell>
          <cell r="C1029" t="str">
            <v>UN</v>
          </cell>
          <cell r="D1029">
            <v>47.6509</v>
          </cell>
        </row>
        <row r="1030">
          <cell r="A1030" t="str">
            <v>001.17.03660</v>
          </cell>
          <cell r="B1030" t="str">
            <v>Fornecimento e instalação de caixa metálica com tampa parafusada de Embutir 40.00x40.00x15.00 cm</v>
          </cell>
          <cell r="C1030" t="str">
            <v>UN</v>
          </cell>
          <cell r="D1030">
            <v>71.347800000000007</v>
          </cell>
        </row>
        <row r="1031">
          <cell r="A1031" t="str">
            <v>001.17.03680</v>
          </cell>
          <cell r="B1031" t="str">
            <v>Fornecimento e instalação de caixa metálica com tampa parafusada de Embutir 50.00x50.00x15.00 cm</v>
          </cell>
          <cell r="C1031" t="str">
            <v>UN</v>
          </cell>
          <cell r="D1031">
            <v>91.437799999999996</v>
          </cell>
        </row>
        <row r="1032">
          <cell r="A1032" t="str">
            <v>001.17.03820</v>
          </cell>
          <cell r="B1032" t="str">
            <v>Fornecimento e instalação de Quadro Metálico De  80 x 60 x 25 cm C/Porta P/ Comando</v>
          </cell>
          <cell r="C1032" t="str">
            <v>UN</v>
          </cell>
          <cell r="D1032">
            <v>285.25560000000002</v>
          </cell>
        </row>
        <row r="1033">
          <cell r="A1033" t="str">
            <v>001.17.03840</v>
          </cell>
          <cell r="B1033" t="str">
            <v>Fornecimento e instalação de Quadro Metálico De  60x 60x20 cm C/Porta P/ Comando</v>
          </cell>
          <cell r="C1033" t="str">
            <v>UN</v>
          </cell>
          <cell r="D1033">
            <v>290.11869999999999</v>
          </cell>
        </row>
        <row r="1034">
          <cell r="A1034" t="str">
            <v>001.17.03850</v>
          </cell>
          <cell r="B1034" t="str">
            <v>Fornecimento e instalação de Quadro De Distribuicao P/ 01- 03 Circuitos De Sobrepor, Pvc, Eletromar ou Mesmo Padrão</v>
          </cell>
          <cell r="C1034" t="str">
            <v>UN</v>
          </cell>
          <cell r="D1034">
            <v>33.127800000000001</v>
          </cell>
        </row>
        <row r="1035">
          <cell r="A1035" t="str">
            <v>001.17.03855</v>
          </cell>
          <cell r="B1035" t="str">
            <v>Fornecimento e instalação de Quadro De Distribuicao P/ 04 - 06 Circuitos De Sobrepor, Pvc, Eletromar ou Mesmo Padrão</v>
          </cell>
          <cell r="C1035" t="str">
            <v>UN</v>
          </cell>
          <cell r="D1035">
            <v>42.2378</v>
          </cell>
        </row>
        <row r="1036">
          <cell r="A1036" t="str">
            <v>001.17.03860</v>
          </cell>
          <cell r="B1036" t="str">
            <v>Fornecimento e instalação de Quadro De Dist Embutir Metálico Com Porta P/ 06 Circuitos</v>
          </cell>
          <cell r="C1036" t="str">
            <v>UN</v>
          </cell>
          <cell r="D1036">
            <v>36.1678</v>
          </cell>
        </row>
        <row r="1037">
          <cell r="A1037" t="str">
            <v>001.17.03880</v>
          </cell>
          <cell r="B1037" t="str">
            <v>Fornecimento e instalação de Quadro De Dist Embutir Metálico Com Porta P/ 12 Circuitos</v>
          </cell>
          <cell r="C1037" t="str">
            <v>UN</v>
          </cell>
          <cell r="D1037">
            <v>46.957799999999999</v>
          </cell>
        </row>
        <row r="1038">
          <cell r="A1038" t="str">
            <v>001.17.03900</v>
          </cell>
          <cell r="B1038" t="str">
            <v>Fornecimento e instalação de Quadro De Dist Embutir Metálico Com Porta P/ 18 Circuitos</v>
          </cell>
          <cell r="C1038" t="str">
            <v>UN</v>
          </cell>
          <cell r="D1038">
            <v>85.844800000000006</v>
          </cell>
        </row>
        <row r="1039">
          <cell r="A1039" t="str">
            <v>001.17.03920</v>
          </cell>
          <cell r="B1039" t="str">
            <v>Fornecimento e instalação de Quadro De Dist Tripolar Embutir C/ Barramento Com Porta 20 Circuitos 100 A</v>
          </cell>
          <cell r="C1039" t="str">
            <v>UN</v>
          </cell>
          <cell r="D1039">
            <v>134.12479999999999</v>
          </cell>
        </row>
        <row r="1040">
          <cell r="A1040" t="str">
            <v>001.17.03980</v>
          </cell>
          <cell r="B1040" t="str">
            <v>Fornecimento e instalação de Quadro De Dist Tripolar Embutir C/ Barramento Com Porta 24 Circuitos 100 A</v>
          </cell>
          <cell r="C1040" t="str">
            <v>UN</v>
          </cell>
          <cell r="D1040">
            <v>183.55170000000001</v>
          </cell>
        </row>
        <row r="1041">
          <cell r="A1041" t="str">
            <v>001.17.04000</v>
          </cell>
          <cell r="B1041" t="str">
            <v>Fornecimento e instalação de Quadro De Dist Tripolar Embutir C/ Barramento Com Porta 40 Circuitos 100 A</v>
          </cell>
          <cell r="C1041" t="str">
            <v>UN</v>
          </cell>
          <cell r="D1041">
            <v>418.18869999999998</v>
          </cell>
        </row>
        <row r="1042">
          <cell r="A1042" t="str">
            <v>001.17.04020</v>
          </cell>
          <cell r="B1042" t="str">
            <v>Fornecimento e instalação de Quadro De Dist Tripolar Embutir C/ Barramento Com Porta 50 Circuitos 100 A</v>
          </cell>
          <cell r="C1042" t="str">
            <v>UN</v>
          </cell>
          <cell r="D1042">
            <v>570.69560000000001</v>
          </cell>
        </row>
        <row r="1043">
          <cell r="A1043" t="str">
            <v>001.17.04060</v>
          </cell>
          <cell r="B1043" t="str">
            <v>Fornecimento e instalação de Quadro De Dist Tripolar Embutir C/ Barramento Com Porta 32 Circuitos 100 A</v>
          </cell>
          <cell r="C1043" t="str">
            <v>UN</v>
          </cell>
          <cell r="D1043">
            <v>197.90170000000001</v>
          </cell>
        </row>
        <row r="1044">
          <cell r="A1044" t="str">
            <v>001.17.04200</v>
          </cell>
          <cell r="B1044" t="str">
            <v>Fornecimento e Instalação de Disjuntor monofásico EL 10A da marca Eletromar ou Mesmo Padrão (UL)</v>
          </cell>
          <cell r="C1044" t="str">
            <v>UN</v>
          </cell>
          <cell r="D1044">
            <v>6.3827999999999996</v>
          </cell>
        </row>
        <row r="1045">
          <cell r="A1045" t="str">
            <v>001.17.04202</v>
          </cell>
          <cell r="B1045" t="str">
            <v>Fornecimento e Instalação de Disjuntor monofásico EL 15A da marca Eletromar ou Mesmo Padrão (UL)</v>
          </cell>
          <cell r="C1045" t="str">
            <v>UN</v>
          </cell>
          <cell r="D1045">
            <v>6.5027999999999997</v>
          </cell>
        </row>
        <row r="1046">
          <cell r="A1046" t="str">
            <v>001.17.04203</v>
          </cell>
          <cell r="B1046" t="str">
            <v>Fornecimento e Instalação de Disjuntor monofásico EL 20A da marca Eletromar ou Mesmo Padrão (UL)</v>
          </cell>
          <cell r="C1046" t="str">
            <v>UN</v>
          </cell>
          <cell r="D1046">
            <v>6.4518000000000004</v>
          </cell>
        </row>
        <row r="1047">
          <cell r="A1047" t="str">
            <v>001.17.04204</v>
          </cell>
          <cell r="B1047" t="str">
            <v>Fornecimento e Instalação de Disjuntor monofásico EL 25A da marca Eletromar ou Mesmo Padrão (UL)</v>
          </cell>
          <cell r="C1047" t="str">
            <v>UN</v>
          </cell>
          <cell r="D1047">
            <v>6.4518000000000004</v>
          </cell>
        </row>
        <row r="1048">
          <cell r="A1048" t="str">
            <v>001.17.04205</v>
          </cell>
          <cell r="B1048" t="str">
            <v>Fornecimento e Instalação de Disjuntor monofásico EL 30A da marca Eletromar ou Mesmo Padrão (UL)</v>
          </cell>
          <cell r="C1048" t="str">
            <v>UN</v>
          </cell>
          <cell r="D1048">
            <v>6.4428000000000001</v>
          </cell>
        </row>
        <row r="1049">
          <cell r="A1049" t="str">
            <v>001.17.04206</v>
          </cell>
          <cell r="B1049" t="str">
            <v>Fornecimento e Instalação de Disjuntor monofásico EL 35A da marca Eletromar ou Mesmo Padrão (UL)</v>
          </cell>
          <cell r="C1049" t="str">
            <v>UN</v>
          </cell>
          <cell r="D1049">
            <v>9.8287999999999993</v>
          </cell>
        </row>
        <row r="1050">
          <cell r="A1050" t="str">
            <v>001.17.04207</v>
          </cell>
          <cell r="B1050" t="str">
            <v>Fornecimento e Instalação de Disjuntor monofásico EL 40A da marca Eletromar ou Mesmo Padrão (UL)</v>
          </cell>
          <cell r="C1050" t="str">
            <v>UN</v>
          </cell>
          <cell r="D1050">
            <v>9.7338000000000005</v>
          </cell>
        </row>
        <row r="1051">
          <cell r="A1051" t="str">
            <v>001.17.04208</v>
          </cell>
          <cell r="B1051" t="str">
            <v>Fornecimento e Instalação de Disjuntor monofásico EL 50A da marca Eletromar ou Mesmo Padrão (UL)</v>
          </cell>
          <cell r="C1051" t="str">
            <v>UN</v>
          </cell>
          <cell r="D1051">
            <v>9.0527999999999995</v>
          </cell>
        </row>
        <row r="1052">
          <cell r="A1052" t="str">
            <v>001.17.04210</v>
          </cell>
          <cell r="B1052" t="str">
            <v>Fornecimento e Instalação de Disjuntor monofásico EL 60A da marca Eletromar ou Mesmo Padrão (UL)</v>
          </cell>
          <cell r="C1052" t="str">
            <v>UN</v>
          </cell>
          <cell r="D1052">
            <v>14.152799999999999</v>
          </cell>
        </row>
        <row r="1053">
          <cell r="A1053" t="str">
            <v>001.17.04212</v>
          </cell>
          <cell r="B1053" t="str">
            <v>Fornecimento e Instalação de Disjuntor monofásico EL 70A da marca Eletromar ou Mesmo Padrão (UL)</v>
          </cell>
          <cell r="C1053" t="str">
            <v>UN</v>
          </cell>
          <cell r="D1053">
            <v>14.152799999999999</v>
          </cell>
        </row>
        <row r="1054">
          <cell r="A1054" t="str">
            <v>001.17.04214</v>
          </cell>
          <cell r="B1054" t="str">
            <v>Fornecimento e Instalação de Disjuntor bifásico EL 10A da marca Eletromar ou Mesmo Padrão (UL)</v>
          </cell>
          <cell r="C1054" t="str">
            <v>UN</v>
          </cell>
          <cell r="D1054">
            <v>32.344799999999999</v>
          </cell>
        </row>
        <row r="1055">
          <cell r="A1055" t="str">
            <v>001.17.04216</v>
          </cell>
          <cell r="B1055" t="str">
            <v>Fornecimento e Instalação de Disjuntor bifásico EL 15A da marca Eletromar ou Mesmo Padrão (UL)</v>
          </cell>
          <cell r="C1055" t="str">
            <v>UN</v>
          </cell>
          <cell r="D1055">
            <v>30.945799999999998</v>
          </cell>
        </row>
        <row r="1056">
          <cell r="A1056" t="str">
            <v>001.17.04218</v>
          </cell>
          <cell r="B1056" t="str">
            <v>Fornecimento e Instalação de Disjuntor bifásico EL 20A da marca Eletromar ou Mesmo Padrão (UL)</v>
          </cell>
          <cell r="C1056" t="str">
            <v>UN</v>
          </cell>
          <cell r="D1056">
            <v>30.945799999999998</v>
          </cell>
        </row>
        <row r="1057">
          <cell r="A1057" t="str">
            <v>001.17.04220</v>
          </cell>
          <cell r="B1057" t="str">
            <v>Fornecimento e Instalação de Disjuntor bifásico EL 25A da marca Eletromar ou Mesmo Padrão (UL)</v>
          </cell>
          <cell r="C1057" t="str">
            <v>UN</v>
          </cell>
          <cell r="D1057">
            <v>30.945799999999998</v>
          </cell>
        </row>
        <row r="1058">
          <cell r="A1058" t="str">
            <v>001.17.04222</v>
          </cell>
          <cell r="B1058" t="str">
            <v>Fornecimento e Instalação de Disjuntor bifásico EL 30A da marca Eletromar ou Mesmo Padrão (UL)</v>
          </cell>
          <cell r="C1058" t="str">
            <v>UN</v>
          </cell>
          <cell r="D1058">
            <v>30.945799999999998</v>
          </cell>
        </row>
        <row r="1059">
          <cell r="A1059" t="str">
            <v>001.17.04224</v>
          </cell>
          <cell r="B1059" t="str">
            <v>Fornecimento e Instalação de Disjuntor bifásico EL 35A da marca Eletromar ou Mesmo Padrão (UL)</v>
          </cell>
          <cell r="C1059" t="str">
            <v>UN</v>
          </cell>
          <cell r="D1059">
            <v>32.344799999999999</v>
          </cell>
        </row>
        <row r="1060">
          <cell r="A1060" t="str">
            <v>001.17.04226</v>
          </cell>
          <cell r="B1060" t="str">
            <v>Fornecimento e Instalação de Disjuntor bifásico EL 40A da marca Eletromar ou Mesmo Padrão (UL)</v>
          </cell>
          <cell r="C1060" t="str">
            <v>UN</v>
          </cell>
          <cell r="D1060">
            <v>32.344799999999999</v>
          </cell>
        </row>
        <row r="1061">
          <cell r="A1061" t="str">
            <v>001.17.04228</v>
          </cell>
          <cell r="B1061" t="str">
            <v>Fornecimento e Instalação de Disjuntor bifásico EL 50A da marca Eletromar ou Mesmo Padrão (UL))</v>
          </cell>
          <cell r="C1061" t="str">
            <v>UN</v>
          </cell>
          <cell r="D1061">
            <v>32.344799999999999</v>
          </cell>
        </row>
        <row r="1062">
          <cell r="A1062" t="str">
            <v>001.17.04230</v>
          </cell>
          <cell r="B1062" t="str">
            <v>Fornecimento e Instalação de Disjuntor bifásico EL 60A da marca Eletromar ou Mesmo Padrão (UL)</v>
          </cell>
          <cell r="C1062" t="str">
            <v>UN</v>
          </cell>
          <cell r="D1062">
            <v>46.3628</v>
          </cell>
        </row>
        <row r="1063">
          <cell r="A1063" t="str">
            <v>001.17.04231</v>
          </cell>
          <cell r="B1063" t="str">
            <v>Fornecimento e Instalação de Disjuntor bifásico EL 70A da marca Eletromar ou Mesmo Padrão (UL)</v>
          </cell>
          <cell r="C1063" t="str">
            <v>UN</v>
          </cell>
          <cell r="D1063">
            <v>47.0608</v>
          </cell>
        </row>
        <row r="1064">
          <cell r="A1064" t="str">
            <v>001.17.04232</v>
          </cell>
          <cell r="B1064" t="str">
            <v>Fornecimento e Instalação de Disjuntor bifásico EL 90A da marca Eletromar ou Mesmo Padrão (UL)</v>
          </cell>
          <cell r="C1064" t="str">
            <v>UN</v>
          </cell>
          <cell r="D1064">
            <v>47.0608</v>
          </cell>
        </row>
        <row r="1065">
          <cell r="A1065" t="str">
            <v>001.17.04233</v>
          </cell>
          <cell r="B1065" t="str">
            <v>Fornecimento e Instalação de Disjuntor bifásico EL 100A da marca Eletromar ou Mesmo Padrão (UL)</v>
          </cell>
          <cell r="C1065" t="str">
            <v>UN</v>
          </cell>
          <cell r="D1065">
            <v>46.3628</v>
          </cell>
        </row>
        <row r="1066">
          <cell r="A1066" t="str">
            <v>001.17.04234</v>
          </cell>
          <cell r="B1066" t="str">
            <v>Fornecimento e Instalação de Disjuntor trifásico EL 10A  C da marca Eletromar ou Mesmo Padrão (UL)</v>
          </cell>
          <cell r="C1066" t="str">
            <v>UN</v>
          </cell>
          <cell r="D1066">
            <v>37.5886</v>
          </cell>
        </row>
        <row r="1067">
          <cell r="A1067" t="str">
            <v>001.17.04235</v>
          </cell>
          <cell r="B1067" t="str">
            <v>Fornecimento e Instalação de Disjuntor trifásico EL 15A  C da marca Eletromar ou Mesmo Padrão (UL)</v>
          </cell>
          <cell r="C1067" t="str">
            <v>UN</v>
          </cell>
          <cell r="D1067">
            <v>38.156599999999997</v>
          </cell>
        </row>
        <row r="1068">
          <cell r="A1068" t="str">
            <v>001.17.04236</v>
          </cell>
          <cell r="B1068" t="str">
            <v>Fornecimento e Instalação de Disjuntor trifásico EL 20A  C da marca Eletromar ou Mesmo Padrão (UL)</v>
          </cell>
          <cell r="C1068" t="str">
            <v>UN</v>
          </cell>
          <cell r="D1068">
            <v>36.9026</v>
          </cell>
        </row>
        <row r="1069">
          <cell r="A1069" t="str">
            <v>001.17.04237</v>
          </cell>
          <cell r="B1069" t="str">
            <v>Fornecimento e Instalação de Disjuntor trifásico EL 25A  C da marca Eletromar ou Mesmo Padrão (UL)</v>
          </cell>
          <cell r="C1069" t="str">
            <v>UN</v>
          </cell>
          <cell r="D1069">
            <v>37.0396</v>
          </cell>
        </row>
        <row r="1070">
          <cell r="A1070" t="str">
            <v>001.17.04238</v>
          </cell>
          <cell r="B1070" t="str">
            <v>Fornecimento e Instalação de Disjuntor trifásico EL 30A  C da marca Eletromar ou Mesmo Padrão (UL)</v>
          </cell>
          <cell r="C1070" t="str">
            <v>UN</v>
          </cell>
          <cell r="D1070">
            <v>37.459600000000002</v>
          </cell>
        </row>
        <row r="1071">
          <cell r="A1071" t="str">
            <v>001.17.04239</v>
          </cell>
          <cell r="B1071" t="str">
            <v>Fornecimento e Instalação de Disjuntor trifásico EL 35A  C da marca Eletromar ou Mesmo Padrão (UL)</v>
          </cell>
          <cell r="C1071" t="str">
            <v>UN</v>
          </cell>
          <cell r="D1071">
            <v>36.9026</v>
          </cell>
        </row>
        <row r="1072">
          <cell r="A1072" t="str">
            <v>001.17.04240</v>
          </cell>
          <cell r="B1072" t="str">
            <v>Fornecimento e Instalação de Disjuntor trifásico EL 40A  C da marca Eletromar ou Mesmo Padrão (UL)</v>
          </cell>
          <cell r="C1072" t="str">
            <v>UN</v>
          </cell>
          <cell r="D1072">
            <v>38.098599999999998</v>
          </cell>
        </row>
        <row r="1073">
          <cell r="A1073" t="str">
            <v>001.17.04241</v>
          </cell>
          <cell r="B1073" t="str">
            <v>Fornecimento e Instalação de Disjuntor trifásico EL 50A  C da marca Eletromar ou Mesmo Padrão (UL)</v>
          </cell>
          <cell r="C1073" t="str">
            <v>UN</v>
          </cell>
          <cell r="D1073">
            <v>38.818600000000004</v>
          </cell>
        </row>
        <row r="1074">
          <cell r="A1074" t="str">
            <v>001.17.04242</v>
          </cell>
          <cell r="B1074" t="str">
            <v>Fornecimento e Instalação de Disjuntor trifásico EL 60A  C da marca Eletromar ou Mesmo Padrão (UL)</v>
          </cell>
          <cell r="C1074" t="str">
            <v>UN</v>
          </cell>
          <cell r="D1074">
            <v>56.241599999999998</v>
          </cell>
        </row>
        <row r="1075">
          <cell r="A1075" t="str">
            <v>001.17.04243</v>
          </cell>
          <cell r="B1075" t="str">
            <v>Fornecimento e Instalação de Disjuntor trifásico EL 70A  C da marca Eletromar ou Mesmo Padrão (UL)</v>
          </cell>
          <cell r="C1075" t="str">
            <v>UN</v>
          </cell>
          <cell r="D1075">
            <v>56.241599999999998</v>
          </cell>
        </row>
        <row r="1076">
          <cell r="A1076" t="str">
            <v>001.17.04244</v>
          </cell>
          <cell r="B1076" t="str">
            <v>Fornecimento e Instalação de Disjuntor trifásico EL 90A  C da marca Eletromar ou Mesmo Padrão (UL)</v>
          </cell>
          <cell r="C1076" t="str">
            <v>UN</v>
          </cell>
          <cell r="D1076">
            <v>56.241599999999998</v>
          </cell>
        </row>
        <row r="1077">
          <cell r="A1077" t="str">
            <v>001.17.04245</v>
          </cell>
          <cell r="B1077" t="str">
            <v>Fornecimento e Instalação de Disjuntor trifásico EL 100A  C da marca Eletromar ou Mesmo Padrão (UL)</v>
          </cell>
          <cell r="C1077" t="str">
            <v>UN</v>
          </cell>
          <cell r="D1077">
            <v>56.241599999999998</v>
          </cell>
        </row>
        <row r="1078">
          <cell r="A1078" t="str">
            <v>001.17.04246</v>
          </cell>
          <cell r="B1078" t="str">
            <v>Fornecimento e Instalação de Disjuntor trifásico EL 120A  CA da marca Eletromar ou Mesmo Padrão (UL)</v>
          </cell>
          <cell r="C1078" t="str">
            <v>UN</v>
          </cell>
          <cell r="D1078">
            <v>168.3416</v>
          </cell>
        </row>
        <row r="1079">
          <cell r="A1079" t="str">
            <v>001.17.04247</v>
          </cell>
          <cell r="B1079" t="str">
            <v>Fornecimento e Instalação de Disjuntor trifásico EL 125A  CA da marca Eletromar ou Mesmo Padrão (UL)</v>
          </cell>
          <cell r="C1079" t="str">
            <v>UN</v>
          </cell>
          <cell r="D1079">
            <v>166.66159999999999</v>
          </cell>
        </row>
        <row r="1080">
          <cell r="A1080" t="str">
            <v>001.17.04248</v>
          </cell>
          <cell r="B1080" t="str">
            <v>Fornecimento e Instalação de Disjuntor trifásico EL 150A  CA da marca Eletromar ou Mesmo Padrão (UL)</v>
          </cell>
          <cell r="C1080" t="str">
            <v>UN</v>
          </cell>
          <cell r="D1080">
            <v>157.05160000000001</v>
          </cell>
        </row>
        <row r="1081">
          <cell r="A1081" t="str">
            <v>001.17.04249</v>
          </cell>
          <cell r="B1081" t="str">
            <v>Fornecimento e Instalação de Disjuntor trifásico EL 175A  CA da marca Eletromar ou Mesmo Padrão (UL)</v>
          </cell>
          <cell r="C1081" t="str">
            <v>UN</v>
          </cell>
          <cell r="D1081">
            <v>157.05160000000001</v>
          </cell>
        </row>
        <row r="1082">
          <cell r="A1082" t="str">
            <v>001.17.04250</v>
          </cell>
          <cell r="B1082" t="str">
            <v>Fornecimento e Instalação de Disjuntor trifásico EL 200A  CA da marca Eletromar ou Mesmo Padrão (UL)</v>
          </cell>
          <cell r="C1082" t="str">
            <v>UN</v>
          </cell>
          <cell r="D1082">
            <v>157.05160000000001</v>
          </cell>
        </row>
        <row r="1083">
          <cell r="A1083" t="str">
            <v>001.17.04251</v>
          </cell>
          <cell r="B1083" t="str">
            <v>Fornecimento e Instalação de Disjuntor trifásico EL 225A  CA da marca Eletromar ou Mesmo Padrão (UL)</v>
          </cell>
          <cell r="C1083" t="str">
            <v>UN</v>
          </cell>
          <cell r="D1083">
            <v>166.66159999999999</v>
          </cell>
        </row>
        <row r="1084">
          <cell r="A1084" t="str">
            <v>001.17.04252</v>
          </cell>
          <cell r="B1084" t="str">
            <v>Fornecimento e Instalação de Disjuntor trifásico EL 250A  CA da marca Eletromar ou Mesmo Padrão (UL)</v>
          </cell>
          <cell r="C1084" t="str">
            <v>UN</v>
          </cell>
          <cell r="D1084">
            <v>435.9076</v>
          </cell>
        </row>
        <row r="1085">
          <cell r="A1085" t="str">
            <v>001.17.04253</v>
          </cell>
          <cell r="B1085" t="str">
            <v>Fornecimento e Instalação de Disjuntor trifásico EL 300A  KI da marca Eletromar ou Mesmo Padrão (UL)</v>
          </cell>
          <cell r="C1085" t="str">
            <v>UN</v>
          </cell>
          <cell r="D1085">
            <v>1739.0686000000001</v>
          </cell>
        </row>
        <row r="1086">
          <cell r="A1086" t="str">
            <v>001.17.04254</v>
          </cell>
          <cell r="B1086" t="str">
            <v>Fornecimento e Instalação de Disjuntor trifásico EL 350A  KI da marca Eletromar ou Mesmo Padrão (UL)</v>
          </cell>
          <cell r="C1086" t="str">
            <v>UN</v>
          </cell>
          <cell r="D1086">
            <v>1739.0686000000001</v>
          </cell>
        </row>
        <row r="1087">
          <cell r="A1087" t="str">
            <v>001.17.04255</v>
          </cell>
          <cell r="B1087" t="str">
            <v>Fornecimento e Instalação de Disjuntor trifásico EL 400A  KI da marca Eletromar ou Mesmo Padrão (UL)</v>
          </cell>
          <cell r="C1087" t="str">
            <v>UN</v>
          </cell>
          <cell r="D1087">
            <v>1657.1786</v>
          </cell>
        </row>
        <row r="1088">
          <cell r="A1088" t="str">
            <v>001.17.04256</v>
          </cell>
          <cell r="B1088" t="str">
            <v>Fornecimento e Instalação de Disjuntor trifásico EL 500A  LI da marca Eletromar ou Mesmo Padrão (UL)</v>
          </cell>
          <cell r="C1088" t="str">
            <v>UN</v>
          </cell>
          <cell r="D1088">
            <v>2994.7356</v>
          </cell>
        </row>
        <row r="1089">
          <cell r="A1089" t="str">
            <v>001.17.04257</v>
          </cell>
          <cell r="B1089" t="str">
            <v>Fornecimento e Instalação de Disjuntor trifásico EL 600A  LI da marca Eletromar ou Mesmo Padrão (UL)</v>
          </cell>
          <cell r="C1089" t="str">
            <v>UN</v>
          </cell>
          <cell r="D1089">
            <v>2994.7356</v>
          </cell>
        </row>
        <row r="1090">
          <cell r="A1090" t="str">
            <v>001.17.04258</v>
          </cell>
          <cell r="B1090" t="str">
            <v>Fornecimento e Instalação de Disjuntor trifásico EL 630A  LI da marca Eletromar ou Mesmo Padrão (UL)</v>
          </cell>
          <cell r="C1090" t="str">
            <v>UN</v>
          </cell>
          <cell r="D1090">
            <v>2994.7356</v>
          </cell>
        </row>
        <row r="1091">
          <cell r="A1091" t="str">
            <v>001.17.04259</v>
          </cell>
          <cell r="B1091" t="str">
            <v>Fornecimento e Instalação de Disjuntor trifásico EL 700A  LI da marca Eletromar ou Mesmo Padrão (UL)</v>
          </cell>
          <cell r="C1091" t="str">
            <v>UN</v>
          </cell>
          <cell r="D1091">
            <v>5358.4516000000003</v>
          </cell>
        </row>
        <row r="1092">
          <cell r="A1092" t="str">
            <v>001.17.04260</v>
          </cell>
          <cell r="B1092" t="str">
            <v>Fornecimento e Instalação de Disjuntor trifásico EL 800A  LI da marca Eletromar ou Mesmo Padrão (UL)</v>
          </cell>
          <cell r="C1092" t="str">
            <v>UN</v>
          </cell>
          <cell r="D1092">
            <v>5358.4516000000003</v>
          </cell>
        </row>
        <row r="1093">
          <cell r="A1093" t="str">
            <v>001.17.04261</v>
          </cell>
          <cell r="B1093" t="str">
            <v>Fornecimento e Instalação de Disjuntor mini monopolar 6A B da marca Siemens ou Mesmo Padrão (DIN)</v>
          </cell>
          <cell r="C1093" t="str">
            <v>UN</v>
          </cell>
          <cell r="D1093">
            <v>24.9558</v>
          </cell>
        </row>
        <row r="1094">
          <cell r="A1094" t="str">
            <v>001.17.04263</v>
          </cell>
          <cell r="B1094" t="str">
            <v>Fornecimento e Instalação de Disjuntor mini monopolar 25A B da marca Siemens ou Mesmo Padrão (DIN)</v>
          </cell>
          <cell r="C1094" t="str">
            <v>UN</v>
          </cell>
          <cell r="D1094">
            <v>8.4428000000000001</v>
          </cell>
        </row>
        <row r="1095">
          <cell r="A1095" t="str">
            <v>001.17.04265</v>
          </cell>
          <cell r="B1095" t="str">
            <v>Fornecimento e Instalação de Disjuntor mini monopolar 32A B da marca Siemens ou Mesmo Padrão (DIN)</v>
          </cell>
          <cell r="C1095" t="str">
            <v>UN</v>
          </cell>
          <cell r="D1095">
            <v>8.5578000000000003</v>
          </cell>
        </row>
        <row r="1096">
          <cell r="A1096" t="str">
            <v>001.17.04267</v>
          </cell>
          <cell r="B1096" t="str">
            <v>Fornecimento e Instalação de Disjuntor mini bipolar 6A C da marca Siemens ou Mesmo Padrão (DIN)</v>
          </cell>
          <cell r="C1096" t="str">
            <v>UN</v>
          </cell>
          <cell r="D1096">
            <v>97.156800000000004</v>
          </cell>
        </row>
        <row r="1097">
          <cell r="A1097" t="str">
            <v>001.17.04269</v>
          </cell>
          <cell r="B1097" t="str">
            <v>Fornecimento e Instalação de Disjuntor mini bipolar 10A C da marca Siemens ou Mesmo Padrão (DIN)</v>
          </cell>
          <cell r="C1097" t="str">
            <v>UN</v>
          </cell>
          <cell r="D1097">
            <v>54.020800000000001</v>
          </cell>
        </row>
        <row r="1098">
          <cell r="A1098" t="str">
            <v>001.17.04271</v>
          </cell>
          <cell r="B1098" t="str">
            <v>Fornecimento e Instalação de Disjuntor mini bipolar 16A C da marca Siemens ou Mesmo Padrão (DIN)</v>
          </cell>
          <cell r="C1098" t="str">
            <v>UN</v>
          </cell>
          <cell r="D1098">
            <v>53.877800000000001</v>
          </cell>
        </row>
        <row r="1099">
          <cell r="A1099" t="str">
            <v>001.17.04273</v>
          </cell>
          <cell r="B1099" t="str">
            <v>Fornecimento e Instalação de Disjuntor mini bipolar 20A C da marca Siemens ou Mesmo Padrão (DIN)</v>
          </cell>
          <cell r="C1099" t="str">
            <v>UN</v>
          </cell>
          <cell r="D1099">
            <v>54.020800000000001</v>
          </cell>
        </row>
        <row r="1100">
          <cell r="A1100" t="str">
            <v>001.17.04275</v>
          </cell>
          <cell r="B1100" t="str">
            <v>Fornecimento e Instalação de Disjuntor mini bipolar 32A C da marca Siemens ou Mesmo Padrão (DIN)</v>
          </cell>
          <cell r="C1100" t="str">
            <v>UN</v>
          </cell>
          <cell r="D1100">
            <v>54.020800000000001</v>
          </cell>
        </row>
        <row r="1101">
          <cell r="A1101" t="str">
            <v>001.17.04277</v>
          </cell>
          <cell r="B1101" t="str">
            <v>Fornecimento e Instalação de Disjuntor mini bipolar 63A C da marca Siemens ou Mesmo Padrão (DIN)</v>
          </cell>
          <cell r="C1101" t="str">
            <v>UN</v>
          </cell>
          <cell r="D1101">
            <v>75.750799999999998</v>
          </cell>
        </row>
        <row r="1102">
          <cell r="A1102" t="str">
            <v>001.17.04279</v>
          </cell>
          <cell r="B1102" t="str">
            <v>Fornecimento e Instalação de Disjuntor mini bipolar 80A C da marca Siemens ou Mesmo Padrão (DIN)</v>
          </cell>
          <cell r="C1102" t="str">
            <v>UN</v>
          </cell>
          <cell r="D1102">
            <v>75.750799999999998</v>
          </cell>
        </row>
        <row r="1103">
          <cell r="A1103" t="str">
            <v>001.17.04281</v>
          </cell>
          <cell r="B1103" t="str">
            <v>Fornecimento e Instalação de Disjuntor mini bipolar 2A C da marca Siemens ou Mesmo Padrão (DIN)</v>
          </cell>
          <cell r="C1103" t="str">
            <v>UN</v>
          </cell>
          <cell r="D1103">
            <v>97.156800000000004</v>
          </cell>
        </row>
        <row r="1104">
          <cell r="A1104" t="str">
            <v>001.17.04283</v>
          </cell>
          <cell r="B1104" t="str">
            <v>Fornecimento e Instalação de Disjuntor mini tripolar G 13A C da marca Siemens ou Mesmo Padrão (DIN)</v>
          </cell>
          <cell r="C1104" t="str">
            <v>UN</v>
          </cell>
          <cell r="D1104">
            <v>60.380600000000001</v>
          </cell>
        </row>
        <row r="1105">
          <cell r="A1105" t="str">
            <v>001.17.04285</v>
          </cell>
          <cell r="B1105" t="str">
            <v>Fornecimento e Instalação de Disjuntor mini tripolar G 25A C da marca Siemens ou Mesmo Padrão (DIN)</v>
          </cell>
          <cell r="C1105" t="str">
            <v>UN</v>
          </cell>
          <cell r="D1105">
            <v>60.380600000000001</v>
          </cell>
        </row>
        <row r="1106">
          <cell r="A1106" t="str">
            <v>001.17.04287</v>
          </cell>
          <cell r="B1106" t="str">
            <v>Fornecimento e Instalação de Disjuntor mini tripolar G 32A C da marca Siemens ou Mesmo Padrão (DIN)</v>
          </cell>
          <cell r="C1106" t="str">
            <v>UN</v>
          </cell>
          <cell r="D1106">
            <v>60.380600000000001</v>
          </cell>
        </row>
        <row r="1107">
          <cell r="A1107" t="str">
            <v>001.17.04289</v>
          </cell>
          <cell r="B1107" t="str">
            <v>Fornecimento e Instalação de Disjuntor mini tripolar G 40A C da marca Siemens ou Mesmo Padrão (DIN)</v>
          </cell>
          <cell r="C1107" t="str">
            <v>UN</v>
          </cell>
          <cell r="D1107">
            <v>60.380600000000001</v>
          </cell>
        </row>
        <row r="1108">
          <cell r="A1108" t="str">
            <v>001.17.04291</v>
          </cell>
          <cell r="B1108" t="str">
            <v>Fornecimento e Instalação de Disjuntor mini tripolar G 70A C da marca Siemens ou Mesmo Padrão (DIN)</v>
          </cell>
          <cell r="C1108" t="str">
            <v>UN</v>
          </cell>
          <cell r="D1108">
            <v>86.239599999999996</v>
          </cell>
        </row>
        <row r="1109">
          <cell r="A1109" t="str">
            <v>001.17.04293</v>
          </cell>
          <cell r="B1109" t="str">
            <v>Fornecimento e Instalação de Disjuntor mini tripolar G 80A C da marca Siemens ou Mesmo Padrão (DIN)</v>
          </cell>
          <cell r="C1109" t="str">
            <v>UN</v>
          </cell>
          <cell r="D1109">
            <v>86.239599999999996</v>
          </cell>
        </row>
        <row r="1110">
          <cell r="A1110" t="str">
            <v>001.17.04300</v>
          </cell>
          <cell r="B1110" t="str">
            <v>Fornecimento e Instalação de Interruptor Simples de embutir 1 tecla 10 A - 250V com espelho para caixa 4x2"""""""", Linha Popular</v>
          </cell>
          <cell r="C1110" t="str">
            <v>CJ</v>
          </cell>
          <cell r="D1110">
            <v>4.8750999999999998</v>
          </cell>
        </row>
        <row r="1111">
          <cell r="A1111" t="str">
            <v>001.17.04302</v>
          </cell>
          <cell r="B1111" t="str">
            <v>Fornecimento e Instalação de Interruptor Simples de Embutir 2 teclas 10 A - 250V com espelho para caixa 4x2"""""""", Linha Popular</v>
          </cell>
          <cell r="C1111" t="str">
            <v>CJ</v>
          </cell>
          <cell r="D1111">
            <v>7.0251000000000001</v>
          </cell>
        </row>
        <row r="1112">
          <cell r="A1112" t="str">
            <v>001.17.04304</v>
          </cell>
          <cell r="B1112" t="str">
            <v>Fornecimento e Instalação de Interruptor Simples de Embutir 3 teclas 10 A - 250V com espelho para caixa 4x2"""""""", Linha Popular</v>
          </cell>
          <cell r="C1112" t="str">
            <v>CJ</v>
          </cell>
          <cell r="D1112">
            <v>9.1651000000000007</v>
          </cell>
        </row>
        <row r="1113">
          <cell r="A1113" t="str">
            <v>001.17.04310</v>
          </cell>
          <cell r="B1113" t="str">
            <v>Fornecimento e Instalação de Interruptor Paralelo de Embutir 1 tecla 10 A - 250V com espelho para caixa 4x2"""""""", Linha Popular</v>
          </cell>
          <cell r="C1113" t="str">
            <v>CJ</v>
          </cell>
          <cell r="D1113">
            <v>5.6051000000000002</v>
          </cell>
        </row>
        <row r="1114">
          <cell r="A1114" t="str">
            <v>001.17.04312</v>
          </cell>
          <cell r="B1114" t="str">
            <v>Fornecimento e Instalação de Interruptor Paralelo de Embutir 2 teclas 10 A - 250V com espelho para caixa 4x2"""""""", Linha Popular</v>
          </cell>
          <cell r="C1114" t="str">
            <v>CJ</v>
          </cell>
          <cell r="D1114">
            <v>8.4750999999999994</v>
          </cell>
        </row>
        <row r="1115">
          <cell r="A1115" t="str">
            <v>001.17.04314</v>
          </cell>
          <cell r="B1115" t="str">
            <v>Fornecimento e Instalação de Interruptor Paralelo 3 teclas de Embutir 10 A - 250V com espelho para caixa 4x2"""""""", Linha Popular</v>
          </cell>
          <cell r="C1115" t="str">
            <v>CJ</v>
          </cell>
          <cell r="D1115">
            <v>11.805099999999999</v>
          </cell>
        </row>
        <row r="1116">
          <cell r="A1116" t="str">
            <v>001.17.04316</v>
          </cell>
          <cell r="B1116" t="str">
            <v>Fornecimento e Instalação de Conjunto de Interruptor Simples e Tomada 2P universal de Embutir 10 A - 250V com espelho para caixa 4x2"""""""", Linha Popular</v>
          </cell>
          <cell r="C1116" t="str">
            <v>CJ</v>
          </cell>
          <cell r="D1116">
            <v>7.2651000000000003</v>
          </cell>
        </row>
        <row r="1117">
          <cell r="A1117" t="str">
            <v>001.17.04320</v>
          </cell>
          <cell r="B1117" t="str">
            <v>Fornecimento e Instalação de Conjunto de Interruptor Paralelo e Tomada 2P universal de Embutir 10 A - 250V com espelho para caixa 4x2"""""""", Linha Popular</v>
          </cell>
          <cell r="C1117" t="str">
            <v>CJ</v>
          </cell>
          <cell r="D1117">
            <v>8.0650999999999993</v>
          </cell>
        </row>
        <row r="1118">
          <cell r="A1118" t="str">
            <v>001.17.04324</v>
          </cell>
          <cell r="B1118" t="str">
            <v>Fornecimento e Instalação de Interruptor Bipolar de Embutir 25 A - 250V com espelho para caixa 4x2"""""""", Linha Popular</v>
          </cell>
          <cell r="C1118" t="str">
            <v>CJ</v>
          </cell>
          <cell r="D1118">
            <v>35.7851</v>
          </cell>
        </row>
        <row r="1119">
          <cell r="A1119" t="str">
            <v>001.17.04326</v>
          </cell>
          <cell r="B1119" t="str">
            <v>Fornecimento e Instalação de Tomada  2P universal de Embutir 10 A - 250V com espelho para caixa 4x2"""""""", Linha Popular</v>
          </cell>
          <cell r="C1119" t="str">
            <v>CJ</v>
          </cell>
          <cell r="D1119">
            <v>4.8750999999999998</v>
          </cell>
        </row>
        <row r="1120">
          <cell r="A1120" t="str">
            <v>001.17.04328</v>
          </cell>
          <cell r="B1120" t="str">
            <v>Fornecimento e Instalação de Tomada  2P+T universal de Embutir 10 A - 250V com espelho para caixa 4x2"""""""", Linha Popular</v>
          </cell>
          <cell r="C1120" t="str">
            <v>CJ</v>
          </cell>
          <cell r="D1120">
            <v>6.4250999999999996</v>
          </cell>
        </row>
        <row r="1121">
          <cell r="A1121" t="str">
            <v>001.17.04330</v>
          </cell>
          <cell r="B1121" t="str">
            <v>Fornecimento e Instalação de Tomada  2P+T universal de Embutir 15 A - 250V para informática com espelho para caixa 4x2"""""""", Linha Popular</v>
          </cell>
          <cell r="C1121" t="str">
            <v>CJ</v>
          </cell>
          <cell r="D1121">
            <v>6.4250999999999996</v>
          </cell>
        </row>
        <row r="1122">
          <cell r="A1122" t="str">
            <v>001.17.04332</v>
          </cell>
          <cell r="B1122" t="str">
            <v>Fornecimento e Instalação de Tomada 3P de Embutir 20 A - 250V para Ar Condicionado, Linha Popular</v>
          </cell>
          <cell r="C1122" t="str">
            <v>CJ</v>
          </cell>
          <cell r="D1122">
            <v>6.5050999999999997</v>
          </cell>
        </row>
        <row r="1123">
          <cell r="A1123" t="str">
            <v>001.17.04338</v>
          </cell>
          <cell r="B1123" t="str">
            <v>Fornecimento e Instalação de Tomada  2P+T universal 15 A - 250V para informática de Embutir no piso com espelho para latão em caixa 4x2"""""""", Linha Popular</v>
          </cell>
          <cell r="C1123" t="str">
            <v>CJ</v>
          </cell>
          <cell r="D1123">
            <v>17.275099999999998</v>
          </cell>
        </row>
        <row r="1124">
          <cell r="A1124" t="str">
            <v>001.17.04346</v>
          </cell>
          <cell r="B1124" t="str">
            <v>Interruptor Simples de embutir 1 tecla 10 A - 250V com espelho para caixa 4x2"""""""", Linha Pratis ou Mesmo Padrão</v>
          </cell>
          <cell r="C1124" t="str">
            <v>CJ</v>
          </cell>
          <cell r="D1124">
            <v>5.6951000000000001</v>
          </cell>
        </row>
        <row r="1125">
          <cell r="A1125" t="str">
            <v>001.17.04440</v>
          </cell>
          <cell r="B1125" t="str">
            <v>Fornecimento e instalação de conjunto arstrop com tomada bipolar mais polo terra e disjuntor termomagnético Bipolar de 30A/250v para embutir UL, em caixa metálica de 4"""" x 4"""" x 2""""</v>
          </cell>
          <cell r="C1125" t="str">
            <v>CJ</v>
          </cell>
          <cell r="D1125">
            <v>66.710400000000007</v>
          </cell>
        </row>
        <row r="1126">
          <cell r="A1126" t="str">
            <v>001.17.04480</v>
          </cell>
          <cell r="B1126" t="str">
            <v>Fornecimento e instalação de conjunto arstop para computador com disjuntor bipolar de 10A/250v e tomada 2P+T em caixa de 10 x 10 x 5 cm, cor marfim</v>
          </cell>
          <cell r="C1126" t="str">
            <v>CJ</v>
          </cell>
          <cell r="D1126">
            <v>36.090400000000002</v>
          </cell>
        </row>
        <row r="1127">
          <cell r="A1127" t="str">
            <v>001.17.05440</v>
          </cell>
          <cell r="B1127" t="str">
            <v>Fornecimento e instalação de campainha de timbre tipo residencial 50/60hz para embutir com caixa metálica 4""""""""x2""""""""</v>
          </cell>
          <cell r="C1127" t="str">
            <v>CJ</v>
          </cell>
          <cell r="D1127">
            <v>17.657599999999999</v>
          </cell>
        </row>
        <row r="1128">
          <cell r="A1128" t="str">
            <v>001.17.05460</v>
          </cell>
          <cell r="B1128" t="str">
            <v>Fornecimento e instalação de campainha de timbre tipo residencial 50/60hz para embutir sem caixa metálica 4""""""""x2""""""""</v>
          </cell>
          <cell r="C1128" t="str">
            <v>UN</v>
          </cell>
          <cell r="D1128">
            <v>15.4504</v>
          </cell>
        </row>
        <row r="1129">
          <cell r="A1129" t="str">
            <v>001.17.05480</v>
          </cell>
          <cell r="B1129" t="str">
            <v>Fornecimento e instalação de campainha de alta potência 50/60hz 110 v com timbre de diâm. 150.00mm 100db</v>
          </cell>
          <cell r="C1129" t="str">
            <v>UN</v>
          </cell>
          <cell r="D1129">
            <v>160.1044</v>
          </cell>
        </row>
        <row r="1130">
          <cell r="A1130" t="str">
            <v>001.17.05500</v>
          </cell>
          <cell r="B1130" t="str">
            <v>Fornecimento e instalação de campainha de alta potência 50/60hz 110 v com timbre de diâm. 250.00mm 104db</v>
          </cell>
          <cell r="C1130" t="str">
            <v>UN</v>
          </cell>
          <cell r="D1130">
            <v>217.1044</v>
          </cell>
        </row>
        <row r="1131">
          <cell r="A1131" t="str">
            <v>001.17.05520</v>
          </cell>
          <cell r="B1131" t="str">
            <v>Fornecimento e instalação de ventilador de teto c/rot em sentido dir/inverso c/4 pas de Madeira 60hz 110v c/ interuptor tipo reostado p/2 setores e com capacitor</v>
          </cell>
          <cell r="C1131" t="str">
            <v>CJ</v>
          </cell>
          <cell r="D1131">
            <v>136.4348</v>
          </cell>
        </row>
        <row r="1132">
          <cell r="A1132" t="str">
            <v>001.17.05602</v>
          </cell>
          <cell r="B1132" t="str">
            <v>Fornecimento e instalação de luminária tipo calha industrial e comercial com lâmpada fluorescente 2 x 20w, reator alto fator de potência partida rápida e acessórios</v>
          </cell>
          <cell r="C1132" t="str">
            <v>CJ</v>
          </cell>
          <cell r="D1132">
            <v>49.6113</v>
          </cell>
        </row>
        <row r="1133">
          <cell r="A1133" t="str">
            <v>001.17.05604</v>
          </cell>
          <cell r="B1133" t="str">
            <v>Fornecimento e instalação de luminária tipo calha industrial e comercial com lâmpada fluorescente 2 x 40w, reator alto fator de potência partida rápida e acessórios</v>
          </cell>
          <cell r="C1133" t="str">
            <v>CJ</v>
          </cell>
          <cell r="D1133">
            <v>54.011299999999999</v>
          </cell>
        </row>
        <row r="1134">
          <cell r="A1134" t="str">
            <v>001.17.05606</v>
          </cell>
          <cell r="B1134" t="str">
            <v>Fornecimento e instalação de luminária tipo arandela em ferro pintado para uso externo com lâmapada incandescente 1x60w/127v (Tipo Tartaruga)</v>
          </cell>
          <cell r="C1134" t="str">
            <v>CJ</v>
          </cell>
          <cell r="D1134">
            <v>21.4391</v>
          </cell>
        </row>
        <row r="1135">
          <cell r="A1135" t="str">
            <v>001.17.05608</v>
          </cell>
          <cell r="B1135" t="str">
            <v>Fornecimento e instalação de luminária bloco autônomo de iluminação de emergência com 2 projetores</v>
          </cell>
          <cell r="C1135" t="str">
            <v>UN</v>
          </cell>
          <cell r="D1135">
            <v>153.58699999999999</v>
          </cell>
        </row>
        <row r="1136">
          <cell r="A1136" t="str">
            <v>001.17.05620</v>
          </cell>
          <cell r="B1136" t="str">
            <v>Fornecimento e instalação de chuveiro elétrico Maxi-Banho 2500w-110/220v</v>
          </cell>
          <cell r="C1136" t="str">
            <v>CJ</v>
          </cell>
          <cell r="D1136">
            <v>32.261800000000001</v>
          </cell>
        </row>
        <row r="1137">
          <cell r="A1137" t="str">
            <v>001.17.05660</v>
          </cell>
          <cell r="B1137" t="str">
            <v>Fornecimento e instalação de baquelite s/ chave p/ lâmpada incandescente</v>
          </cell>
          <cell r="C1137" t="str">
            <v>UN</v>
          </cell>
          <cell r="D1137">
            <v>1.9875</v>
          </cell>
        </row>
        <row r="1138">
          <cell r="A1138" t="str">
            <v>001.17.05680</v>
          </cell>
          <cell r="B1138" t="str">
            <v>Fornecimento e instalação de baquelite c/ chave p/ lâmpada incandescente</v>
          </cell>
          <cell r="C1138" t="str">
            <v>UN</v>
          </cell>
          <cell r="D1138">
            <v>2.9375</v>
          </cell>
        </row>
        <row r="1139">
          <cell r="A1139" t="str">
            <v>001.17.05700</v>
          </cell>
          <cell r="B1139" t="str">
            <v>Fornecimento e instalação de soquete p/ lâmpada fluorescente</v>
          </cell>
          <cell r="C1139" t="str">
            <v>UN</v>
          </cell>
          <cell r="D1139">
            <v>1.1301000000000001</v>
          </cell>
        </row>
        <row r="1140">
          <cell r="A1140" t="str">
            <v>001.17.05740</v>
          </cell>
          <cell r="B1140" t="str">
            <v>Fornecimento e instalação de Soquete De Porcelana P/ Lâmpada Comum  E 27</v>
          </cell>
          <cell r="C1140" t="str">
            <v>UN</v>
          </cell>
          <cell r="D1140">
            <v>3.3273999999999999</v>
          </cell>
        </row>
        <row r="1141">
          <cell r="A1141" t="str">
            <v>001.17.05760</v>
          </cell>
          <cell r="B1141" t="str">
            <v>Fornecimento e instalação de Soquete De Porcelana P/ Lâmpada Comum  E 40</v>
          </cell>
          <cell r="C1141" t="str">
            <v>UN</v>
          </cell>
          <cell r="D1141">
            <v>7.5263</v>
          </cell>
        </row>
        <row r="1142">
          <cell r="A1142" t="str">
            <v>001.17.05780</v>
          </cell>
          <cell r="B1142" t="str">
            <v>Fornecimento e instalação de lâmpada vapor de sódio 250w</v>
          </cell>
          <cell r="C1142" t="str">
            <v>UN</v>
          </cell>
          <cell r="D1142">
            <v>32.656300000000002</v>
          </cell>
        </row>
        <row r="1143">
          <cell r="A1143" t="str">
            <v>001.17.05800</v>
          </cell>
          <cell r="B1143" t="str">
            <v>Fornecimento e instalação de lâmpada fluorescente pl com reator - 25w/127v</v>
          </cell>
          <cell r="C1143" t="str">
            <v>UN</v>
          </cell>
          <cell r="D1143">
            <v>13.1663</v>
          </cell>
        </row>
        <row r="1144">
          <cell r="A1144" t="str">
            <v>001.17.05820</v>
          </cell>
          <cell r="B1144" t="str">
            <v>Fornecimento e instalação de lâmpada mista 160w/220v</v>
          </cell>
          <cell r="C1144" t="str">
            <v>UN</v>
          </cell>
          <cell r="D1144">
            <v>9.1163000000000007</v>
          </cell>
        </row>
        <row r="1145">
          <cell r="A1145" t="str">
            <v>001.17.05840</v>
          </cell>
          <cell r="B1145" t="str">
            <v>Fornecimento e instalação de lâmpada mista 250w/220v</v>
          </cell>
          <cell r="C1145" t="str">
            <v>UN</v>
          </cell>
          <cell r="D1145">
            <v>12.6563</v>
          </cell>
        </row>
        <row r="1146">
          <cell r="A1146" t="str">
            <v>001.17.05860</v>
          </cell>
          <cell r="B1146" t="str">
            <v>Fornecimento e instalação de lâmpada mista 500w/220v</v>
          </cell>
          <cell r="C1146" t="str">
            <v>UN</v>
          </cell>
          <cell r="D1146">
            <v>28.0063</v>
          </cell>
        </row>
        <row r="1147">
          <cell r="A1147" t="str">
            <v>001.17.05880</v>
          </cell>
          <cell r="B1147" t="str">
            <v>Fornecimento e instalação de lâmpada hospitalar p/ sala cirurgica """"""""seyalitica"""""""" 250w/220v</v>
          </cell>
          <cell r="C1147" t="str">
            <v>UN</v>
          </cell>
          <cell r="D1147">
            <v>83.666300000000007</v>
          </cell>
        </row>
        <row r="1148">
          <cell r="A1148" t="str">
            <v>001.17.05900</v>
          </cell>
          <cell r="B1148" t="str">
            <v>Fornecimento e instalação de lâmpada a vapor de mercúrio de alta pressão 400 w</v>
          </cell>
          <cell r="C1148" t="str">
            <v>UN</v>
          </cell>
          <cell r="D1148">
            <v>30.656300000000002</v>
          </cell>
        </row>
        <row r="1149">
          <cell r="A1149" t="str">
            <v>001.17.05920</v>
          </cell>
          <cell r="B1149" t="str">
            <v>Fornecimento e instalação de lâmpada incandescente 60 w</v>
          </cell>
          <cell r="C1149" t="str">
            <v>UN</v>
          </cell>
          <cell r="D1149">
            <v>1.5063</v>
          </cell>
        </row>
        <row r="1150">
          <cell r="A1150" t="str">
            <v>001.17.05940</v>
          </cell>
          <cell r="B1150" t="str">
            <v>Fornecimento e instalação de lâmpada incandescente 100 w</v>
          </cell>
          <cell r="C1150" t="str">
            <v>UN</v>
          </cell>
          <cell r="D1150">
            <v>1.8463000000000001</v>
          </cell>
        </row>
        <row r="1151">
          <cell r="A1151" t="str">
            <v>001.17.05960</v>
          </cell>
          <cell r="B1151" t="str">
            <v>Fornecimento e instalação de lâmpada incandescente 150 w</v>
          </cell>
          <cell r="C1151" t="str">
            <v>UN</v>
          </cell>
          <cell r="D1151">
            <v>2.3963000000000001</v>
          </cell>
        </row>
        <row r="1152">
          <cell r="A1152" t="str">
            <v>001.17.05980</v>
          </cell>
          <cell r="B1152" t="str">
            <v>Fornecimento e instalação de lâmpada incandescente 200 w</v>
          </cell>
          <cell r="C1152" t="str">
            <v>UN</v>
          </cell>
          <cell r="D1152">
            <v>2.8763000000000001</v>
          </cell>
        </row>
        <row r="1153">
          <cell r="A1153" t="str">
            <v>001.17.06000</v>
          </cell>
          <cell r="B1153" t="str">
            <v>Fornecimento e instalação de lâmpada incandescente 20 w</v>
          </cell>
          <cell r="C1153" t="str">
            <v>UN</v>
          </cell>
          <cell r="D1153">
            <v>3.6362999999999999</v>
          </cell>
        </row>
        <row r="1154">
          <cell r="A1154" t="str">
            <v>001.17.06020</v>
          </cell>
          <cell r="B1154" t="str">
            <v>Fornecimento e instalação de lâmpada incandescente 40 w</v>
          </cell>
          <cell r="C1154" t="str">
            <v>UN</v>
          </cell>
          <cell r="D1154">
            <v>3.6362999999999999</v>
          </cell>
        </row>
        <row r="1155">
          <cell r="A1155" t="str">
            <v>001.17.06080</v>
          </cell>
          <cell r="B1155" t="str">
            <v>Fornecimento e instalação de reator convencional 20w</v>
          </cell>
          <cell r="C1155" t="str">
            <v>UN</v>
          </cell>
          <cell r="D1155">
            <v>7.4062999999999999</v>
          </cell>
        </row>
        <row r="1156">
          <cell r="A1156" t="str">
            <v>001.17.06100</v>
          </cell>
          <cell r="B1156" t="str">
            <v>Fornecimento e instalação de reator convencional 40w</v>
          </cell>
          <cell r="C1156" t="str">
            <v>UN</v>
          </cell>
          <cell r="D1156">
            <v>13.5863</v>
          </cell>
        </row>
        <row r="1157">
          <cell r="A1157" t="str">
            <v>001.17.06160</v>
          </cell>
          <cell r="B1157" t="str">
            <v>Fornecimento e instalação de reator rvm para lampada vapor de mercurio 250 w</v>
          </cell>
          <cell r="C1157" t="str">
            <v>UN</v>
          </cell>
          <cell r="D1157">
            <v>45.296300000000002</v>
          </cell>
        </row>
        <row r="1158">
          <cell r="A1158" t="str">
            <v>001.17.06180</v>
          </cell>
          <cell r="B1158" t="str">
            <v>Fornecimento e instalação de reator rvm 400b26 da philips</v>
          </cell>
          <cell r="C1158" t="str">
            <v>UN</v>
          </cell>
          <cell r="D1158">
            <v>51.346299999999999</v>
          </cell>
        </row>
        <row r="1159">
          <cell r="A1159" t="str">
            <v>001.17.06200</v>
          </cell>
          <cell r="B1159" t="str">
            <v>Fornecimento e instalação de reator simples partida rápida 20w/110v</v>
          </cell>
          <cell r="C1159" t="str">
            <v>UN</v>
          </cell>
          <cell r="D1159">
            <v>17.684799999999999</v>
          </cell>
        </row>
        <row r="1160">
          <cell r="A1160" t="str">
            <v>001.17.06220</v>
          </cell>
          <cell r="B1160" t="str">
            <v>Fornecimento e instalação de reator simples partida rápida 40w/110v</v>
          </cell>
          <cell r="C1160" t="str">
            <v>UN</v>
          </cell>
          <cell r="D1160">
            <v>17.406300000000002</v>
          </cell>
        </row>
        <row r="1161">
          <cell r="A1161" t="str">
            <v>001.17.06240</v>
          </cell>
          <cell r="B1161" t="str">
            <v>Fornecimento e instalação de reator duplo partida rápida 20w/110v</v>
          </cell>
          <cell r="C1161" t="str">
            <v>UN</v>
          </cell>
          <cell r="D1161">
            <v>27.0139</v>
          </cell>
        </row>
        <row r="1162">
          <cell r="A1162" t="str">
            <v>001.17.06260</v>
          </cell>
          <cell r="B1162" t="str">
            <v>Fornecimento e instalação de reator duplo partida rápida 40w/110v para lampada fluorescente</v>
          </cell>
          <cell r="C1162" t="str">
            <v>UN</v>
          </cell>
          <cell r="D1162">
            <v>28.343900000000001</v>
          </cell>
        </row>
        <row r="1163">
          <cell r="A1163" t="str">
            <v>001.17.06280</v>
          </cell>
          <cell r="B1163" t="str">
            <v>Fornecimento e instalação de reator simples partida rápida 20w/220v</v>
          </cell>
          <cell r="C1163" t="str">
            <v>UN</v>
          </cell>
          <cell r="D1163">
            <v>16.8063</v>
          </cell>
        </row>
        <row r="1164">
          <cell r="A1164" t="str">
            <v>001.17.06300</v>
          </cell>
          <cell r="B1164" t="str">
            <v>Fornecimento e instalaçao de reator simples partida rápida 40w/220v</v>
          </cell>
          <cell r="C1164" t="str">
            <v>UN</v>
          </cell>
          <cell r="D1164">
            <v>17.096299999999999</v>
          </cell>
        </row>
        <row r="1165">
          <cell r="A1165" t="str">
            <v>001.17.06320</v>
          </cell>
          <cell r="B1165" t="str">
            <v>Fornecimento e instalação de reator duplo partida rápida 20w/220v</v>
          </cell>
          <cell r="C1165" t="str">
            <v>UN</v>
          </cell>
          <cell r="D1165">
            <v>27.9239</v>
          </cell>
        </row>
        <row r="1166">
          <cell r="A1166" t="str">
            <v>001.17.06340</v>
          </cell>
          <cell r="B1166" t="str">
            <v>Fornecimento e instalação de reator duplo partida rápida 40w/220v</v>
          </cell>
          <cell r="C1166" t="str">
            <v>UN</v>
          </cell>
          <cell r="D1166">
            <v>27.9239</v>
          </cell>
        </row>
        <row r="1167">
          <cell r="A1167" t="str">
            <v>001.17.06350</v>
          </cell>
          <cell r="B1167" t="str">
            <v>Fornecimento e instalação de  rolo de fita isolante plástica, de 20.00 m</v>
          </cell>
          <cell r="C1167" t="str">
            <v>UN</v>
          </cell>
          <cell r="D1167">
            <v>12.693300000000001</v>
          </cell>
        </row>
        <row r="1168">
          <cell r="A1168" t="str">
            <v>001.17.06355</v>
          </cell>
          <cell r="B1168" t="str">
            <v>Fornecimento e instalação de  rolo de fita isolante plástica, de 10.00 m</v>
          </cell>
          <cell r="C1168" t="str">
            <v>UN</v>
          </cell>
          <cell r="D1168">
            <v>12.1243</v>
          </cell>
        </row>
        <row r="1169">
          <cell r="A1169" t="str">
            <v>001.17.06360</v>
          </cell>
          <cell r="B1169" t="str">
            <v>Fornecimento e instalação de  rolo de fita isolante plástica, de 05.00 m</v>
          </cell>
          <cell r="C1169" t="str">
            <v>UN</v>
          </cell>
          <cell r="D1169">
            <v>5.7667000000000002</v>
          </cell>
        </row>
        <row r="1170">
          <cell r="A1170" t="str">
            <v>001.17.06365</v>
          </cell>
          <cell r="B1170" t="str">
            <v>Fornecimento e instalação de rolo de fita isolante de alta fusão, de 10.00 m</v>
          </cell>
          <cell r="C1170" t="str">
            <v>UN</v>
          </cell>
          <cell r="D1170">
            <v>20.225300000000001</v>
          </cell>
        </row>
        <row r="1171">
          <cell r="A1171" t="str">
            <v>001.18</v>
          </cell>
          <cell r="B1171" t="str">
            <v>INSTALAÇÕES ELÉTRICAS - LÓGICA E TELEFONIA</v>
          </cell>
          <cell r="D1171">
            <v>3704.7485999999999</v>
          </cell>
        </row>
        <row r="1172">
          <cell r="A1172" t="str">
            <v>001.18.00020</v>
          </cell>
          <cell r="B1172" t="str">
            <v>Fornecimento e instalação de fio para telefone 2x22 awg</v>
          </cell>
          <cell r="C1172" t="str">
            <v>M</v>
          </cell>
          <cell r="D1172">
            <v>0.92349999999999999</v>
          </cell>
        </row>
        <row r="1173">
          <cell r="A1173" t="str">
            <v>001.18.00040</v>
          </cell>
          <cell r="B1173" t="str">
            <v>Fornecimento e instalação de cabo tipo UTP , categoria 5 E Azul</v>
          </cell>
          <cell r="C1173" t="str">
            <v>M</v>
          </cell>
          <cell r="D1173">
            <v>1.3346</v>
          </cell>
        </row>
        <row r="1174">
          <cell r="A1174" t="str">
            <v>001.18.00080</v>
          </cell>
          <cell r="B1174" t="str">
            <v>Fornecimento e instalação de terminal rj-45</v>
          </cell>
          <cell r="C1174" t="str">
            <v>UN</v>
          </cell>
          <cell r="D1174">
            <v>2.8348</v>
          </cell>
        </row>
        <row r="1175">
          <cell r="A1175" t="str">
            <v>001.18.00100</v>
          </cell>
          <cell r="B1175" t="str">
            <v>Fornecimento e instalação de tomada tipo rj45</v>
          </cell>
          <cell r="C1175" t="str">
            <v>UN</v>
          </cell>
          <cell r="D1175">
            <v>11.8522</v>
          </cell>
        </row>
        <row r="1176">
          <cell r="A1176" t="str">
            <v>001.18.00101</v>
          </cell>
          <cell r="B1176" t="str">
            <v>Fornecimento e Instalação de Bandeja  Normal 19''X1UX290 MM Bege ou Preto</v>
          </cell>
          <cell r="C1176" t="str">
            <v>un</v>
          </cell>
          <cell r="D1176">
            <v>62.450600000000001</v>
          </cell>
        </row>
        <row r="1177">
          <cell r="A1177" t="str">
            <v>001.18.00102</v>
          </cell>
          <cell r="B1177" t="str">
            <v>Certificação De Ponto</v>
          </cell>
          <cell r="C1177" t="str">
            <v>un</v>
          </cell>
          <cell r="D1177">
            <v>25</v>
          </cell>
        </row>
        <row r="1178">
          <cell r="A1178" t="str">
            <v>001.18.00103</v>
          </cell>
          <cell r="B1178" t="str">
            <v>Fornecimento e Instalação de Conector RJ45 Femea Cat. 5E - Bege ou Preto</v>
          </cell>
          <cell r="C1178" t="str">
            <v>un</v>
          </cell>
          <cell r="D1178">
            <v>20.0839</v>
          </cell>
        </row>
        <row r="1179">
          <cell r="A1179" t="str">
            <v>001.18.00104</v>
          </cell>
          <cell r="B1179" t="str">
            <v>Fornecimento e Instalação de Guia De Cabo Fechado Horizontal 1U Bege ou Preto</v>
          </cell>
          <cell r="C1179" t="str">
            <v>un</v>
          </cell>
          <cell r="D1179">
            <v>28.5502</v>
          </cell>
        </row>
        <row r="1180">
          <cell r="A1180" t="str">
            <v>001.18.00105</v>
          </cell>
          <cell r="B1180" t="str">
            <v>Fornecimento e Instalação de Kit De Identificação Elétrica Anilha + Fita</v>
          </cell>
          <cell r="C1180" t="str">
            <v>CJ</v>
          </cell>
          <cell r="D1180">
            <v>3.2063000000000001</v>
          </cell>
        </row>
        <row r="1181">
          <cell r="A1181" t="str">
            <v>001.18.00106</v>
          </cell>
          <cell r="B1181" t="str">
            <v>Fornecimento e Instalação de Kit De Identificação Lógica ( Anilha + Fita)</v>
          </cell>
          <cell r="C1181" t="str">
            <v>CJ</v>
          </cell>
          <cell r="D1181">
            <v>3.2063000000000001</v>
          </cell>
        </row>
        <row r="1182">
          <cell r="A1182" t="str">
            <v>001.18.00107</v>
          </cell>
          <cell r="B1182" t="str">
            <v>Fornecimento e Instalação de Painel Frontal 19''X1U Bege ou Preto</v>
          </cell>
          <cell r="C1182" t="str">
            <v>un</v>
          </cell>
          <cell r="D1182">
            <v>15.2102</v>
          </cell>
        </row>
        <row r="1183">
          <cell r="A1183" t="str">
            <v>001.18.00108</v>
          </cell>
          <cell r="B1183" t="str">
            <v>Fornecimento e Instalação de Patch Cord  CAT. 5E RIGIDO 2.5M C/ CAPA</v>
          </cell>
          <cell r="C1183" t="str">
            <v>un</v>
          </cell>
          <cell r="D1183">
            <v>11.6814</v>
          </cell>
        </row>
        <row r="1184">
          <cell r="A1184" t="str">
            <v>001.18.00109</v>
          </cell>
          <cell r="B1184" t="str">
            <v>Fornecimento e Instalação de Patch Cord Cat. 5E Flex. 1.5M  Azul S/ Capa</v>
          </cell>
          <cell r="C1184" t="str">
            <v>un</v>
          </cell>
          <cell r="D1184">
            <v>11.381399999999999</v>
          </cell>
        </row>
        <row r="1185">
          <cell r="A1185" t="str">
            <v>001.18.00110</v>
          </cell>
          <cell r="B1185" t="str">
            <v>Fornecimento e Instalação de Patch Painel 24 Portas Categoria 5E</v>
          </cell>
          <cell r="C1185" t="str">
            <v>un</v>
          </cell>
          <cell r="D1185">
            <v>518.56119999999999</v>
          </cell>
        </row>
        <row r="1186">
          <cell r="A1186" t="str">
            <v>001.18.00111</v>
          </cell>
          <cell r="B1186" t="str">
            <v>Fornecimento e Instalação de Porca Gaiola 5MM Fechado Com 02 Ventilador</v>
          </cell>
          <cell r="C1186" t="str">
            <v>un</v>
          </cell>
          <cell r="D1186">
            <v>1.9175</v>
          </cell>
        </row>
        <row r="1187">
          <cell r="A1187" t="str">
            <v>001.18.00112</v>
          </cell>
          <cell r="B1187" t="str">
            <v>Fornecimento e Instalação de Rack 19''X12UX550MM Fechado Com 02 Ventilador</v>
          </cell>
          <cell r="C1187" t="str">
            <v>un</v>
          </cell>
          <cell r="D1187">
            <v>857.90239999999994</v>
          </cell>
        </row>
        <row r="1188">
          <cell r="A1188" t="str">
            <v>001.18.00113</v>
          </cell>
          <cell r="B1188" t="str">
            <v>Fornecimento e Instalação de Régua 19'' Com 6 Tomadas 2P+T</v>
          </cell>
          <cell r="C1188" t="str">
            <v>un</v>
          </cell>
          <cell r="D1188">
            <v>87.990200000000002</v>
          </cell>
        </row>
        <row r="1189">
          <cell r="A1189" t="str">
            <v>001.18.00114</v>
          </cell>
          <cell r="B1189" t="str">
            <v>Fornecimento e Instalação de Switch 24P AT - FS724I 10/100</v>
          </cell>
          <cell r="C1189" t="str">
            <v>un</v>
          </cell>
          <cell r="D1189">
            <v>1089.0812000000001</v>
          </cell>
        </row>
        <row r="1190">
          <cell r="A1190" t="str">
            <v>001.18.00117</v>
          </cell>
          <cell r="B1190" t="str">
            <v>Fornecimento e Instalação de Tampa Encaixe  50 x 50 x 300 mm</v>
          </cell>
          <cell r="C1190" t="str">
            <v>br</v>
          </cell>
          <cell r="D1190">
            <v>10.8339</v>
          </cell>
        </row>
        <row r="1191">
          <cell r="A1191" t="str">
            <v>001.18.00118</v>
          </cell>
          <cell r="B1191" t="str">
            <v>Fornecimento e Instalação de Calha Lisa 50 x 50 x 300 mm Tipo U</v>
          </cell>
          <cell r="C1191" t="str">
            <v>br</v>
          </cell>
          <cell r="D1191">
            <v>43.610599999999998</v>
          </cell>
        </row>
        <row r="1192">
          <cell r="A1192" t="str">
            <v>001.18.00120</v>
          </cell>
          <cell r="B1192" t="str">
            <v>Fornecimento e Instalação de Tomada para Telefone tipo Telebrás de Embutir com espelho para caixa 4x2"", Linha Popular</v>
          </cell>
          <cell r="C1192" t="str">
            <v>CJ</v>
          </cell>
          <cell r="D1192">
            <v>6.2751000000000001</v>
          </cell>
        </row>
        <row r="1193">
          <cell r="A1193" t="str">
            <v>001.18.00121</v>
          </cell>
          <cell r="B1193" t="str">
            <v>Fornecimento e Instalação de Tomada para Telefone RJ 11 de Embutir com espelho para caixa 4x2"", Linha Popular</v>
          </cell>
          <cell r="C1193" t="str">
            <v>CJ</v>
          </cell>
          <cell r="D1193">
            <v>5.8350999999999997</v>
          </cell>
        </row>
        <row r="1194">
          <cell r="A1194" t="str">
            <v>001.18.00122</v>
          </cell>
          <cell r="B1194" t="str">
            <v>Fornecimento e Instalação de Tomada para Rede de Informática RJ 45 de Embutir com espelho para caixa 4x2"", Linha Popular</v>
          </cell>
          <cell r="C1194" t="str">
            <v>CJ</v>
          </cell>
          <cell r="D1194">
            <v>21.145099999999999</v>
          </cell>
        </row>
        <row r="1195">
          <cell r="A1195" t="str">
            <v>001.18.00123</v>
          </cell>
          <cell r="B1195" t="str">
            <v>Fornecimento e Instalação de Tomada para Rede de Informática com 2 RJ 45 de Embutir com espelho para caixa 4x4"", Linha Popular</v>
          </cell>
          <cell r="C1195" t="str">
            <v>CJ</v>
          </cell>
          <cell r="D1195">
            <v>2.8751000000000002</v>
          </cell>
        </row>
        <row r="1196">
          <cell r="A1196" t="str">
            <v>001.18.00124</v>
          </cell>
          <cell r="B1196" t="str">
            <v>Fornecimento e Instalação de Tomada para Telefone tipo Telebrás de Embutir para piso com espelho em latão para caixa 4x2""</v>
          </cell>
          <cell r="C1196" t="str">
            <v>CJ</v>
          </cell>
          <cell r="D1196">
            <v>18.145099999999999</v>
          </cell>
        </row>
        <row r="1197">
          <cell r="A1197" t="str">
            <v>001.18.00125</v>
          </cell>
          <cell r="B1197" t="str">
            <v>Fornecimento e Instalação de Tomada para Telefone RJ 11 de Embutir para piso com espelho em latão para caixa 4x2""</v>
          </cell>
          <cell r="C1197" t="str">
            <v>CJ</v>
          </cell>
          <cell r="D1197">
            <v>12.495100000000001</v>
          </cell>
        </row>
        <row r="1198">
          <cell r="A1198" t="str">
            <v>001.18.00127</v>
          </cell>
          <cell r="B1198" t="str">
            <v>Fornecimento e Instalação de Tomada para Rede de Informática RJ 45 de Embutir para piso com espelho para latão em caixa 4x2""</v>
          </cell>
          <cell r="C1198" t="str">
            <v>CJ</v>
          </cell>
          <cell r="D1198">
            <v>11.6251</v>
          </cell>
        </row>
        <row r="1199">
          <cell r="A1199" t="str">
            <v>001.18.00128</v>
          </cell>
          <cell r="B1199" t="str">
            <v>Fornecimento e Instalação de Tomada para Rede de Informática com 2 RJ 45 de Embutir para piso com espelho em latão para caixa 4x2""</v>
          </cell>
          <cell r="C1199" t="str">
            <v>CJ</v>
          </cell>
          <cell r="D1199">
            <v>8.1051000000000002</v>
          </cell>
        </row>
        <row r="1200">
          <cell r="A1200" t="str">
            <v>001.18.00201</v>
          </cell>
          <cell r="B1200" t="str">
            <v>Fornecimento e instalação de caixa metálica p/ telefone n.1 10.00x10.00x5.00 cm</v>
          </cell>
          <cell r="C1200" t="str">
            <v>UN</v>
          </cell>
          <cell r="D1200">
            <v>1.726</v>
          </cell>
        </row>
        <row r="1201">
          <cell r="A1201" t="str">
            <v>001.18.00221</v>
          </cell>
          <cell r="B1201" t="str">
            <v>Fornecimento e instalação de caixa metálica p/ telefone n.2 20.00x20.00x12.00 cm</v>
          </cell>
          <cell r="C1201" t="str">
            <v>UN</v>
          </cell>
          <cell r="D1201">
            <v>32.087400000000002</v>
          </cell>
        </row>
        <row r="1202">
          <cell r="A1202" t="str">
            <v>001.18.00241</v>
          </cell>
          <cell r="B1202" t="str">
            <v>Fornecimento e instalação de caixa metálica p/ telefone n.3 40.00x40.00x12.00 cm</v>
          </cell>
          <cell r="C1202" t="str">
            <v>UN</v>
          </cell>
          <cell r="D1202">
            <v>65.377799999999993</v>
          </cell>
        </row>
        <row r="1203">
          <cell r="A1203" t="str">
            <v>001.18.00261</v>
          </cell>
          <cell r="B1203" t="str">
            <v>Fornecimento e instalação de caixa metálica p/ telefone n.4 60.00x60.00x12.00 cm</v>
          </cell>
          <cell r="C1203" t="str">
            <v>UN</v>
          </cell>
          <cell r="D1203">
            <v>113.2948</v>
          </cell>
        </row>
        <row r="1204">
          <cell r="A1204" t="str">
            <v>001.18.00281</v>
          </cell>
          <cell r="B1204" t="str">
            <v>Fornecimento e instalação de caixa metálica p/ telefone n.5 80.00x80.00x12.00 cm</v>
          </cell>
          <cell r="C1204" t="str">
            <v>UN</v>
          </cell>
          <cell r="D1204">
            <v>198.24379999999999</v>
          </cell>
        </row>
        <row r="1205">
          <cell r="A1205" t="str">
            <v>001.18.00301</v>
          </cell>
          <cell r="B1205" t="str">
            <v>Fornecimento e instalação de caixa metálica p/ telefone n.6 120.00x120.00x12.00 cm</v>
          </cell>
          <cell r="C1205" t="str">
            <v>UN</v>
          </cell>
          <cell r="D1205">
            <v>399.90559999999999</v>
          </cell>
        </row>
        <row r="1206">
          <cell r="A1206" t="str">
            <v>001.18.00321</v>
          </cell>
          <cell r="B1206" t="str">
            <v>Execução de caixa de entrada em alvenaria c/ tampa metálica conf. padrão telemat r1 (60x35x50)cm</v>
          </cell>
          <cell r="C1206" t="str">
            <v>UN</v>
          </cell>
          <cell r="D1206">
            <v>0</v>
          </cell>
        </row>
        <row r="1207">
          <cell r="A1207" t="str">
            <v>001.18.00341</v>
          </cell>
          <cell r="B1207" t="str">
            <v>Execução de caixa de entrada em alvenaria c/ tampa metálica conf. padrão telemat r2 (107x52x50) cm</v>
          </cell>
          <cell r="C1207" t="str">
            <v>UN</v>
          </cell>
          <cell r="D1207">
            <v>0</v>
          </cell>
        </row>
        <row r="1208">
          <cell r="A1208" t="str">
            <v>001.19</v>
          </cell>
          <cell r="B1208" t="str">
            <v>INSTALAÇÕES ELÉTRICAS - PREVENÇÃO CONTRA DESCARGAS ATMOSFÉRICAS E INCÊNDIO</v>
          </cell>
          <cell r="D1208">
            <v>3654.4434999999999</v>
          </cell>
        </row>
        <row r="1209">
          <cell r="A1209" t="str">
            <v>001.19.00120</v>
          </cell>
          <cell r="B1209" t="str">
            <v>Fornecimento e Instalação de Cabo de cobre nú seção 10.00 mm2</v>
          </cell>
          <cell r="C1209" t="str">
            <v>ml</v>
          </cell>
          <cell r="D1209">
            <v>4.0815000000000001</v>
          </cell>
        </row>
        <row r="1210">
          <cell r="A1210" t="str">
            <v>001.19.00140</v>
          </cell>
          <cell r="B1210" t="str">
            <v>Fornecimento e Instalação de Cabo de cobre nú seção 16.00 mm2</v>
          </cell>
          <cell r="C1210" t="str">
            <v>ml</v>
          </cell>
          <cell r="D1210">
            <v>6.4927000000000001</v>
          </cell>
        </row>
        <row r="1211">
          <cell r="A1211" t="str">
            <v>001.19.00160</v>
          </cell>
          <cell r="B1211" t="str">
            <v>Fornecimento e Instalação de Cabo de cobre nú seção 25.00 mm2</v>
          </cell>
          <cell r="C1211" t="str">
            <v>ml</v>
          </cell>
          <cell r="D1211">
            <v>6.4927000000000001</v>
          </cell>
        </row>
        <row r="1212">
          <cell r="A1212" t="str">
            <v>001.19.00165</v>
          </cell>
          <cell r="B1212" t="str">
            <v>Fornecimento e Instalação de Cabo de cobre nú seção 35.00 mm2</v>
          </cell>
          <cell r="C1212" t="str">
            <v>ml</v>
          </cell>
          <cell r="D1212">
            <v>8.6486999999999998</v>
          </cell>
        </row>
        <row r="1213">
          <cell r="A1213" t="str">
            <v>001.19.00166</v>
          </cell>
          <cell r="B1213" t="str">
            <v>Fornecimento e Instalação de Cabo de cobre nú seção 50.00 mm2</v>
          </cell>
          <cell r="C1213" t="str">
            <v>ml</v>
          </cell>
          <cell r="D1213">
            <v>13.034700000000001</v>
          </cell>
        </row>
        <row r="1214">
          <cell r="A1214" t="str">
            <v>001.19.00170</v>
          </cell>
          <cell r="B1214" t="str">
            <v>Fornecimento e Instalação de Cabo de cobre nú seção 70.00 mm2</v>
          </cell>
          <cell r="C1214" t="str">
            <v>ml</v>
          </cell>
          <cell r="D1214">
            <v>16.818899999999999</v>
          </cell>
        </row>
        <row r="1215">
          <cell r="A1215" t="str">
            <v>001.19.00180</v>
          </cell>
          <cell r="B1215" t="str">
            <v>Fornecimento e Instalação de Cabo de cobre nú seção 95.00 mm2</v>
          </cell>
          <cell r="C1215" t="str">
            <v>ml</v>
          </cell>
          <cell r="D1215">
            <v>22.8918</v>
          </cell>
        </row>
        <row r="1216">
          <cell r="A1216" t="str">
            <v>001.19.01200</v>
          </cell>
          <cell r="B1216" t="str">
            <v>Fornecimento e Instalação de Relee fotoelétrico para comando automático de iluminação 110V/220V, incl. Base</v>
          </cell>
          <cell r="C1216" t="str">
            <v>un</v>
          </cell>
          <cell r="D1216">
            <v>23.947700000000001</v>
          </cell>
        </row>
        <row r="1217">
          <cell r="A1217" t="str">
            <v>001.19.01300</v>
          </cell>
          <cell r="B1217" t="str">
            <v>Execução de caixa de concreto 40x40x60cm com tampa de concreto armado</v>
          </cell>
          <cell r="C1217" t="str">
            <v>UN</v>
          </cell>
          <cell r="D1217">
            <v>49.377099999999999</v>
          </cell>
        </row>
        <row r="1218">
          <cell r="A1218" t="str">
            <v>001.19.01340</v>
          </cell>
          <cell r="B1218" t="str">
            <v>Fornecimento e Instalação de Solda Exotérmica 25</v>
          </cell>
          <cell r="C1218" t="str">
            <v>un</v>
          </cell>
          <cell r="D1218">
            <v>6.7877000000000001</v>
          </cell>
        </row>
        <row r="1219">
          <cell r="A1219" t="str">
            <v>001.19.01360</v>
          </cell>
          <cell r="B1219" t="str">
            <v>Fornecimento e Instalação de Solda Exotérmica 32</v>
          </cell>
          <cell r="C1219" t="str">
            <v>un</v>
          </cell>
          <cell r="D1219">
            <v>7.3876999999999997</v>
          </cell>
        </row>
        <row r="1220">
          <cell r="A1220" t="str">
            <v>001.19.01380</v>
          </cell>
          <cell r="B1220" t="str">
            <v>Fornecimento e Instalação de Solda Exotérmica 45</v>
          </cell>
          <cell r="C1220" t="str">
            <v>un</v>
          </cell>
          <cell r="D1220">
            <v>7.7877000000000001</v>
          </cell>
        </row>
        <row r="1221">
          <cell r="A1221" t="str">
            <v>001.19.01400</v>
          </cell>
          <cell r="B1221" t="str">
            <v>Fornecimento e Instalação de Solda Exotérmica 65</v>
          </cell>
          <cell r="C1221" t="str">
            <v>un</v>
          </cell>
          <cell r="D1221">
            <v>8.1876999999999995</v>
          </cell>
        </row>
        <row r="1222">
          <cell r="A1222" t="str">
            <v>001.19.01420</v>
          </cell>
          <cell r="B1222" t="str">
            <v>Fornecimento e Instalação de Solda Exotérmica 90</v>
          </cell>
          <cell r="C1222" t="str">
            <v>un</v>
          </cell>
          <cell r="D1222">
            <v>9.2876999999999992</v>
          </cell>
        </row>
        <row r="1223">
          <cell r="A1223" t="str">
            <v>001.19.01440</v>
          </cell>
          <cell r="B1223" t="str">
            <v>Fornecimento e Instalação de Solda Exotérmica 115</v>
          </cell>
          <cell r="C1223" t="str">
            <v>un</v>
          </cell>
          <cell r="D1223">
            <v>10.1877</v>
          </cell>
        </row>
        <row r="1224">
          <cell r="A1224" t="str">
            <v>001.19.01460</v>
          </cell>
          <cell r="B1224" t="str">
            <v>Fornecimento e Instalação de Solda Exotérmica 150</v>
          </cell>
          <cell r="C1224" t="str">
            <v>un</v>
          </cell>
          <cell r="D1224">
            <v>11.387700000000001</v>
          </cell>
        </row>
        <row r="1225">
          <cell r="A1225" t="str">
            <v>001.19.01480</v>
          </cell>
          <cell r="B1225" t="str">
            <v>Fornecimento e Instalação de Solda Exotérmica 200</v>
          </cell>
          <cell r="C1225" t="str">
            <v>un</v>
          </cell>
          <cell r="D1225">
            <v>13.0877</v>
          </cell>
        </row>
        <row r="1226">
          <cell r="A1226" t="str">
            <v>001.19.02000</v>
          </cell>
          <cell r="B1226" t="str">
            <v>Fornecimento E Instalação De Captor Tipo Franklin - Latão Niquelado De 300mm 1 Descida</v>
          </cell>
          <cell r="C1226" t="str">
            <v>un</v>
          </cell>
          <cell r="D1226">
            <v>28.450199999999999</v>
          </cell>
        </row>
        <row r="1227">
          <cell r="A1227" t="str">
            <v>001.19.02020</v>
          </cell>
          <cell r="B1227" t="str">
            <v>Fornecimento E Instalação De Captor Tipo Franklin - Latão Niquelado De 350mm 1 Descida</v>
          </cell>
          <cell r="C1227" t="str">
            <v>un</v>
          </cell>
          <cell r="D1227">
            <v>53.720199999999998</v>
          </cell>
        </row>
        <row r="1228">
          <cell r="A1228" t="str">
            <v>001.19.02040</v>
          </cell>
          <cell r="B1228" t="str">
            <v>Fornecimento E Instalação De Captor Tipo Franklin - Latão Niquelado De 300 Mm 2 Descidas</v>
          </cell>
          <cell r="C1228" t="str">
            <v>un</v>
          </cell>
          <cell r="D1228">
            <v>36.970199999999998</v>
          </cell>
        </row>
        <row r="1229">
          <cell r="A1229" t="str">
            <v>001.19.02060</v>
          </cell>
          <cell r="B1229" t="str">
            <v>Fornecimento E Instalação De Captor Tipo Franklin - Latão Niquelado De 350 Mm 2 Descidas</v>
          </cell>
          <cell r="C1229" t="str">
            <v>un</v>
          </cell>
          <cell r="D1229">
            <v>57.190199999999997</v>
          </cell>
        </row>
        <row r="1230">
          <cell r="A1230" t="str">
            <v>001.19.02080</v>
          </cell>
          <cell r="B1230" t="str">
            <v>Fornecimento E Instalação De Captor Tipo Franklin - Inox De 300 Mm 1 Descida</v>
          </cell>
          <cell r="C1230" t="str">
            <v>un</v>
          </cell>
          <cell r="D1230">
            <v>85.720200000000006</v>
          </cell>
        </row>
        <row r="1231">
          <cell r="A1231" t="str">
            <v>001.19.02100</v>
          </cell>
          <cell r="B1231" t="str">
            <v>Fornecimento E Instalação De Captor Tipo Franklin - Inox De 300 Mm 2 Descidas</v>
          </cell>
          <cell r="C1231" t="str">
            <v>un</v>
          </cell>
          <cell r="D1231">
            <v>97.920199999999994</v>
          </cell>
        </row>
        <row r="1232">
          <cell r="A1232" t="str">
            <v>001.19.02120</v>
          </cell>
          <cell r="B1232" t="str">
            <v>Fornecimento E Instalação De Terminais Aéreos - Fixação Horizontal De 300 Mm S/ Abraçadeira</v>
          </cell>
          <cell r="C1232" t="str">
            <v>un</v>
          </cell>
          <cell r="D1232">
            <v>6.8788999999999998</v>
          </cell>
        </row>
        <row r="1233">
          <cell r="A1233" t="str">
            <v>001.19.02140</v>
          </cell>
          <cell r="B1233" t="str">
            <v>Fornecimento E Instalação De Terminais Aéreos - Fixação Horizontal De 300 Mm C/ Abraçadeira</v>
          </cell>
          <cell r="C1233" t="str">
            <v>un</v>
          </cell>
          <cell r="D1233">
            <v>7.9889000000000001</v>
          </cell>
        </row>
        <row r="1234">
          <cell r="A1234" t="str">
            <v>001.19.02160</v>
          </cell>
          <cell r="B1234" t="str">
            <v>Fornecimento E Instalação De Terminais Aéreos - Fixação Horizontal De 600 Mm S/ Abraçadeira</v>
          </cell>
          <cell r="C1234" t="str">
            <v>un</v>
          </cell>
          <cell r="D1234">
            <v>8.0488999999999997</v>
          </cell>
        </row>
        <row r="1235">
          <cell r="A1235" t="str">
            <v>001.19.02180</v>
          </cell>
          <cell r="B1235" t="str">
            <v>Fornecimento e Instalação de Terminais aéreos - Fixação Horizontal de 600 mm C/ Abraçadeira</v>
          </cell>
          <cell r="C1235" t="str">
            <v>un</v>
          </cell>
          <cell r="D1235">
            <v>9.1288999999999998</v>
          </cell>
        </row>
        <row r="1236">
          <cell r="A1236" t="str">
            <v>001.19.02200</v>
          </cell>
          <cell r="B1236" t="str">
            <v>Fornecimento E Instalação De Terminais Aéreos - Fixação Vertical De 300 Mm S/ Abraçadeira</v>
          </cell>
          <cell r="C1236" t="str">
            <v>un</v>
          </cell>
          <cell r="D1236">
            <v>6.8788999999999998</v>
          </cell>
        </row>
        <row r="1237">
          <cell r="A1237" t="str">
            <v>001.19.02220</v>
          </cell>
          <cell r="B1237" t="str">
            <v>Fornecimento e Instalação de Terminais Aéreos -Fixação Vertical de 300 mm C/ Abraçadeira</v>
          </cell>
          <cell r="C1237" t="str">
            <v>un</v>
          </cell>
          <cell r="D1237">
            <v>7.9889000000000001</v>
          </cell>
        </row>
        <row r="1238">
          <cell r="A1238" t="str">
            <v>001.19.02240</v>
          </cell>
          <cell r="B1238" t="str">
            <v>Fornecimento E Instalação De Terminais Aéreos - Fixação Vertical De 600 Mm S/ Abraçadeira</v>
          </cell>
          <cell r="C1238" t="str">
            <v>un</v>
          </cell>
          <cell r="D1238">
            <v>8.0488999999999997</v>
          </cell>
        </row>
        <row r="1239">
          <cell r="A1239" t="str">
            <v>001.19.02260</v>
          </cell>
          <cell r="B1239" t="str">
            <v>Fornecimento E Instalação De Treminais Aéreos - Fixação Vertical De 600 Mm C/ Abraçadeira</v>
          </cell>
          <cell r="C1239" t="str">
            <v>un</v>
          </cell>
          <cell r="D1239">
            <v>9.1288999999999998</v>
          </cell>
        </row>
        <row r="1240">
          <cell r="A1240" t="str">
            <v>001.19.02280</v>
          </cell>
          <cell r="B1240" t="str">
            <v>Fornecimento E Instalção De Isolador De Uso Geral - Fixação Horizontal Simples</v>
          </cell>
          <cell r="C1240" t="str">
            <v>un</v>
          </cell>
          <cell r="D1240">
            <v>5.5701000000000001</v>
          </cell>
        </row>
        <row r="1241">
          <cell r="A1241" t="str">
            <v>001.19.02300</v>
          </cell>
          <cell r="B1241" t="str">
            <v>Fornecimento E Instalação De Isolador De Uso Geral - Fixação Horizontal Simples C/ 100 Mm</v>
          </cell>
          <cell r="C1241" t="str">
            <v>un</v>
          </cell>
          <cell r="D1241">
            <v>4.7500999999999998</v>
          </cell>
        </row>
        <row r="1242">
          <cell r="A1242" t="str">
            <v>001.19.02320</v>
          </cell>
          <cell r="B1242" t="str">
            <v>Fornecimento E Instalação De Isolador De Uso Geral - Fixação Horizontal Reforçado</v>
          </cell>
          <cell r="C1242" t="str">
            <v>un</v>
          </cell>
          <cell r="D1242">
            <v>5.3101000000000003</v>
          </cell>
        </row>
        <row r="1243">
          <cell r="A1243" t="str">
            <v>001.19.02340</v>
          </cell>
          <cell r="B1243" t="str">
            <v>Fornecimento E Instalação De Isolador De Uso Geral - Fixação Horizontal  Reforçado C/ 100 Mm</v>
          </cell>
          <cell r="C1243" t="str">
            <v>un</v>
          </cell>
          <cell r="D1243">
            <v>6.4100999999999999</v>
          </cell>
        </row>
        <row r="1244">
          <cell r="A1244" t="str">
            <v>001.19.02360</v>
          </cell>
          <cell r="B1244" t="str">
            <v>Fornecimento e Instalação de Isolador de Uso Geral - Fixação em 90º Reforçado 90º</v>
          </cell>
          <cell r="C1244" t="str">
            <v>un</v>
          </cell>
          <cell r="D1244">
            <v>9.4100999999999999</v>
          </cell>
        </row>
        <row r="1245">
          <cell r="A1245" t="str">
            <v>001.19.02380</v>
          </cell>
          <cell r="B1245" t="str">
            <v>Fornecimento E Instalação De Isolador De Uso Geral - Fixação Em 90º Reforçado 90º C/ 100 Mm</v>
          </cell>
          <cell r="C1245" t="str">
            <v>un</v>
          </cell>
          <cell r="D1245">
            <v>9.4100999999999999</v>
          </cell>
        </row>
        <row r="1246">
          <cell r="A1246" t="str">
            <v>001.19.02400</v>
          </cell>
          <cell r="B1246" t="str">
            <v>Fornecimento E Instalação De Mastro H De 2,00 M X 1. 1/2''</v>
          </cell>
          <cell r="C1246" t="str">
            <v>un</v>
          </cell>
          <cell r="D1246">
            <v>45.065199999999997</v>
          </cell>
        </row>
        <row r="1247">
          <cell r="A1247" t="str">
            <v>001.19.02420</v>
          </cell>
          <cell r="B1247" t="str">
            <v>Fornecimento E Instalação De Mastro H De 3,00m X 1. 1/2''</v>
          </cell>
          <cell r="C1247" t="str">
            <v>un</v>
          </cell>
          <cell r="D1247">
            <v>64.845200000000006</v>
          </cell>
        </row>
        <row r="1248">
          <cell r="A1248" t="str">
            <v>001.19.02440</v>
          </cell>
          <cell r="B1248" t="str">
            <v>Fornecimento E Instalação De Mastro H De 4,00 M X 1. 1/2''</v>
          </cell>
          <cell r="C1248" t="str">
            <v>un</v>
          </cell>
          <cell r="D1248">
            <v>88.975200000000001</v>
          </cell>
        </row>
        <row r="1249">
          <cell r="A1249" t="str">
            <v>001.19.02460</v>
          </cell>
          <cell r="B1249" t="str">
            <v>Fornecimento E Instalação de Mastro H de 5,00 m x 1. 1/2''</v>
          </cell>
          <cell r="C1249" t="str">
            <v>un</v>
          </cell>
          <cell r="D1249">
            <v>104.4252</v>
          </cell>
        </row>
        <row r="1250">
          <cell r="A1250" t="str">
            <v>001.19.02480</v>
          </cell>
          <cell r="B1250" t="str">
            <v>Fornecimento E Instalação De Mastro H De 6,00 M X 1. 1/2''</v>
          </cell>
          <cell r="C1250" t="str">
            <v>un</v>
          </cell>
          <cell r="D1250">
            <v>124.0752</v>
          </cell>
        </row>
        <row r="1251">
          <cell r="A1251" t="str">
            <v>001.19.02500</v>
          </cell>
          <cell r="B1251" t="str">
            <v>Fornecimento E Instalação De Mastro H De 2,00 M X 2''</v>
          </cell>
          <cell r="C1251" t="str">
            <v>un</v>
          </cell>
          <cell r="D1251">
            <v>54.0152</v>
          </cell>
        </row>
        <row r="1252">
          <cell r="A1252" t="str">
            <v>001.19.02520</v>
          </cell>
          <cell r="B1252" t="str">
            <v>Fornecimento E Instalação De Mastro H De 3,00 M X 2''</v>
          </cell>
          <cell r="C1252" t="str">
            <v>un</v>
          </cell>
          <cell r="D1252">
            <v>77.845200000000006</v>
          </cell>
        </row>
        <row r="1253">
          <cell r="A1253" t="str">
            <v>001.19.02540</v>
          </cell>
          <cell r="B1253" t="str">
            <v>Fornecimento E Instalação De Masto H De 4,00 M X 2''</v>
          </cell>
          <cell r="C1253" t="str">
            <v>un</v>
          </cell>
          <cell r="D1253">
            <v>103.5652</v>
          </cell>
        </row>
        <row r="1254">
          <cell r="A1254" t="str">
            <v>001.19.02560</v>
          </cell>
          <cell r="B1254" t="str">
            <v>Fornecimento E Instalação De Mastro H De 5,00 M X 2''</v>
          </cell>
          <cell r="C1254" t="str">
            <v>un</v>
          </cell>
          <cell r="D1254">
            <v>126.23520000000001</v>
          </cell>
        </row>
        <row r="1255">
          <cell r="A1255" t="str">
            <v>001.19.02580</v>
          </cell>
          <cell r="B1255" t="str">
            <v>Fornecimento E Instalação De Mastro H De 6,00 M X 2''</v>
          </cell>
          <cell r="C1255" t="str">
            <v>un</v>
          </cell>
          <cell r="D1255">
            <v>150.0752</v>
          </cell>
        </row>
        <row r="1256">
          <cell r="A1256" t="str">
            <v>001.19.02600</v>
          </cell>
          <cell r="B1256" t="str">
            <v>Fornecimento E Instalação De Mastro Telescópico H De 5,00 M X 1. 1/2'' E 2''</v>
          </cell>
          <cell r="C1256" t="str">
            <v>un</v>
          </cell>
          <cell r="D1256">
            <v>159.3152</v>
          </cell>
        </row>
        <row r="1257">
          <cell r="A1257" t="str">
            <v>001.19.02620</v>
          </cell>
          <cell r="B1257" t="str">
            <v>Fornecimento E Instalação De Mastro Telescópico H De 7,00 M X 1. 1/2'' E 2''</v>
          </cell>
          <cell r="C1257" t="str">
            <v>un</v>
          </cell>
          <cell r="D1257">
            <v>220.84520000000001</v>
          </cell>
        </row>
        <row r="1258">
          <cell r="A1258" t="str">
            <v>001.19.02640</v>
          </cell>
          <cell r="B1258" t="str">
            <v>Fornecimento E Instalação De Mastro Telescópico H De 9,00 M X 1. 1/2'' E 2''</v>
          </cell>
          <cell r="C1258" t="str">
            <v>un</v>
          </cell>
          <cell r="D1258">
            <v>281.51519999999999</v>
          </cell>
        </row>
        <row r="1259">
          <cell r="A1259" t="str">
            <v>001.19.02660</v>
          </cell>
          <cell r="B1259" t="str">
            <v>Fornecimento E Instalação De Isolador P/ Mastro - Simples 1 Descida De 3/4''</v>
          </cell>
          <cell r="C1259" t="str">
            <v>un</v>
          </cell>
          <cell r="D1259">
            <v>6.6101000000000001</v>
          </cell>
        </row>
        <row r="1260">
          <cell r="A1260" t="str">
            <v>001.19.02680</v>
          </cell>
          <cell r="B1260" t="str">
            <v>Fornecimento E Instalação De Isolador P/ Mastro - Simples 1 Descida De 1''</v>
          </cell>
          <cell r="C1260" t="str">
            <v>un</v>
          </cell>
          <cell r="D1260">
            <v>6.7401</v>
          </cell>
        </row>
        <row r="1261">
          <cell r="A1261" t="str">
            <v>001.19.02700</v>
          </cell>
          <cell r="B1261" t="str">
            <v>Fornecimento E Instalação De Isolador P/ Mastro - Simples 1 Descida De 1. 1/4''</v>
          </cell>
          <cell r="C1261" t="str">
            <v>un</v>
          </cell>
          <cell r="D1261">
            <v>7.2201000000000004</v>
          </cell>
        </row>
        <row r="1262">
          <cell r="A1262" t="str">
            <v>001.19.02720</v>
          </cell>
          <cell r="B1262" t="str">
            <v>Fornecimento E Instalação De Isolador P/ Mastro - Simples 1 Descida De 1. 1/2''</v>
          </cell>
          <cell r="C1262" t="str">
            <v>un</v>
          </cell>
          <cell r="D1262">
            <v>7.3601000000000001</v>
          </cell>
        </row>
        <row r="1263">
          <cell r="A1263" t="str">
            <v>001.19.02740</v>
          </cell>
          <cell r="B1263" t="str">
            <v>Fornecimento E Instalação De Isolador P/ Mastro - Simples 1 Descida De 2''</v>
          </cell>
          <cell r="C1263" t="str">
            <v>un</v>
          </cell>
          <cell r="D1263">
            <v>7.5900999999999996</v>
          </cell>
        </row>
        <row r="1264">
          <cell r="A1264" t="str">
            <v>001.19.02760</v>
          </cell>
          <cell r="B1264" t="str">
            <v>Fornecimento E Instalação De Isolador P/ Mastro - Simples 2 Descidas De 3/4''</v>
          </cell>
          <cell r="C1264" t="str">
            <v>un</v>
          </cell>
          <cell r="D1264">
            <v>7.1300999999999997</v>
          </cell>
        </row>
        <row r="1265">
          <cell r="A1265" t="str">
            <v>001.19.02780</v>
          </cell>
          <cell r="B1265" t="str">
            <v>Fornecimento E Instalação De Isolador P/ Mastro - Simples 2 Descidas De 1''</v>
          </cell>
          <cell r="C1265" t="str">
            <v>un</v>
          </cell>
          <cell r="D1265">
            <v>7.2900999999999998</v>
          </cell>
        </row>
        <row r="1266">
          <cell r="A1266" t="str">
            <v>001.19.02800</v>
          </cell>
          <cell r="B1266" t="str">
            <v>Fornecimento E Instalação De Isolador P/ Mastro - Simples 2 Descidas De 1. 1/4''</v>
          </cell>
          <cell r="C1266" t="str">
            <v>un</v>
          </cell>
          <cell r="D1266">
            <v>7.9100999999999999</v>
          </cell>
        </row>
        <row r="1267">
          <cell r="A1267" t="str">
            <v>001.19.02820</v>
          </cell>
          <cell r="B1267" t="str">
            <v>Fornecimento E Instalação De Isolador P/ Mastro - Simples 2 Descidas De 1. 1/2''</v>
          </cell>
          <cell r="C1267" t="str">
            <v>un</v>
          </cell>
          <cell r="D1267">
            <v>8.4300999999999995</v>
          </cell>
        </row>
        <row r="1268">
          <cell r="A1268" t="str">
            <v>001.19.02840</v>
          </cell>
          <cell r="B1268" t="str">
            <v>Fornecimento E Instalação De Isolador P/ Mastro - Simples 2 Descidas De 2''</v>
          </cell>
          <cell r="C1268" t="str">
            <v>un</v>
          </cell>
          <cell r="D1268">
            <v>8.7500999999999998</v>
          </cell>
        </row>
        <row r="1269">
          <cell r="A1269" t="str">
            <v>001.19.02860</v>
          </cell>
          <cell r="B1269" t="str">
            <v>Fornecimento E Instalação De Isolador P/ Mastro - Reforçado 1 Descida De 3/4''</v>
          </cell>
          <cell r="C1269" t="str">
            <v>un</v>
          </cell>
          <cell r="D1269">
            <v>8.5900999999999996</v>
          </cell>
        </row>
        <row r="1270">
          <cell r="A1270" t="str">
            <v>001.19.02880</v>
          </cell>
          <cell r="B1270" t="str">
            <v>Fornecimento E Instalação De Isolador P/ Mastro - Reforçado 1 Descida De 1''</v>
          </cell>
          <cell r="C1270" t="str">
            <v>un</v>
          </cell>
          <cell r="D1270">
            <v>8.5900999999999996</v>
          </cell>
        </row>
        <row r="1271">
          <cell r="A1271" t="str">
            <v>001.19.02900</v>
          </cell>
          <cell r="B1271" t="str">
            <v>Fornecimento E Instalação De Isolador P/ Mastro - Reforçado 1 Descida De 1. 1/4''</v>
          </cell>
          <cell r="C1271" t="str">
            <v>un</v>
          </cell>
          <cell r="D1271">
            <v>9.0100999999999996</v>
          </cell>
        </row>
        <row r="1272">
          <cell r="A1272" t="str">
            <v>001.19.02920</v>
          </cell>
          <cell r="B1272" t="str">
            <v>Fornecimento E Instalação De Isolador P/ Mastro - Reforçado 1 Descida De 1. 1/2''</v>
          </cell>
          <cell r="C1272" t="str">
            <v>un</v>
          </cell>
          <cell r="D1272">
            <v>9.7500999999999998</v>
          </cell>
        </row>
        <row r="1273">
          <cell r="A1273" t="str">
            <v>001.19.02940</v>
          </cell>
          <cell r="B1273" t="str">
            <v>Fornecimento E Instalação De Isolador P/ Mastro - Reforçado 1 Descida De 2''</v>
          </cell>
          <cell r="C1273" t="str">
            <v>un</v>
          </cell>
          <cell r="D1273">
            <v>10.4001</v>
          </cell>
        </row>
        <row r="1274">
          <cell r="A1274" t="str">
            <v>001.19.02960</v>
          </cell>
          <cell r="B1274" t="str">
            <v>Fornecimento E Instalação De Isolador P/ Mastro - Reforçado 2 Descidas De 3/4''</v>
          </cell>
          <cell r="C1274" t="str">
            <v>un</v>
          </cell>
          <cell r="D1274">
            <v>9.5300999999999991</v>
          </cell>
        </row>
        <row r="1275">
          <cell r="A1275" t="str">
            <v>001.19.02980</v>
          </cell>
          <cell r="B1275" t="str">
            <v>Fornecimento E Instalação De Isolador P/ Mastro - Reforçado 2 Descidas De 1''</v>
          </cell>
          <cell r="C1275" t="str">
            <v>un</v>
          </cell>
          <cell r="D1275">
            <v>9.5300999999999991</v>
          </cell>
        </row>
        <row r="1276">
          <cell r="A1276" t="str">
            <v>001.19.03000</v>
          </cell>
          <cell r="B1276" t="str">
            <v>Fornecimento E Instalação De Isolador P/ Mastro - Reforçado 2 Descidas De 1. 1/4''</v>
          </cell>
          <cell r="C1276" t="str">
            <v>un</v>
          </cell>
          <cell r="D1276">
            <v>9.7301000000000002</v>
          </cell>
        </row>
        <row r="1277">
          <cell r="A1277" t="str">
            <v>001.19.03020</v>
          </cell>
          <cell r="B1277" t="str">
            <v>Fornecimento E Instalação De Isolador P/ Mastro - Reforçado 2 Descidas De 1. 1/2''</v>
          </cell>
          <cell r="C1277" t="str">
            <v>un</v>
          </cell>
          <cell r="D1277">
            <v>10.2201</v>
          </cell>
        </row>
        <row r="1278">
          <cell r="A1278" t="str">
            <v>001.19.03040</v>
          </cell>
          <cell r="B1278" t="str">
            <v>Fornecimento E Instalação De Isolador P/ Mastro - Reforçado 2 Descidas De 2''</v>
          </cell>
          <cell r="C1278" t="str">
            <v>un</v>
          </cell>
          <cell r="D1278">
            <v>10.690099999999999</v>
          </cell>
        </row>
        <row r="1279">
          <cell r="A1279" t="str">
            <v>001.19.03060</v>
          </cell>
          <cell r="B1279" t="str">
            <v>Fornecimento E Instalação De Fixadores P/ Mastro - Base P/ Mastro H De 1. ¹/²''</v>
          </cell>
          <cell r="C1279" t="str">
            <v>un</v>
          </cell>
          <cell r="D1279">
            <v>34.003</v>
          </cell>
        </row>
        <row r="1280">
          <cell r="A1280" t="str">
            <v>001.19.03080</v>
          </cell>
          <cell r="B1280" t="str">
            <v>Fornecimento E Instalação De Fixadores P/ Mastro - Base P/ Mastro H De 2''</v>
          </cell>
          <cell r="C1280" t="str">
            <v>un</v>
          </cell>
          <cell r="D1280">
            <v>34.863</v>
          </cell>
        </row>
        <row r="1281">
          <cell r="A1281" t="str">
            <v>001.19.03100</v>
          </cell>
          <cell r="B1281" t="str">
            <v>Fornecimento E Instalação De Conectores De Uso Geral - Emenda E Medição P/ Cabo Até Ø50mm² 2P</v>
          </cell>
          <cell r="C1281" t="str">
            <v>un</v>
          </cell>
          <cell r="D1281">
            <v>9.5326000000000004</v>
          </cell>
        </row>
        <row r="1282">
          <cell r="A1282" t="str">
            <v>001.19.03120</v>
          </cell>
          <cell r="B1282" t="str">
            <v>Fornecimento E Instalação De Conectores De Uso Geral - Emenda E Medição P/ Cabo Até Ø120mm² 2P</v>
          </cell>
          <cell r="C1282" t="str">
            <v>un</v>
          </cell>
          <cell r="D1282">
            <v>13.8826</v>
          </cell>
        </row>
        <row r="1283">
          <cell r="A1283" t="str">
            <v>001.19.03140</v>
          </cell>
          <cell r="B1283" t="str">
            <v>Fornecimento E Instalação De Conector De Uso Geral - Emenda E Medição P/ Cabo Até  Ø50mm² 4P</v>
          </cell>
          <cell r="C1283" t="str">
            <v>un</v>
          </cell>
          <cell r="D1283">
            <v>16.772600000000001</v>
          </cell>
        </row>
        <row r="1284">
          <cell r="A1284" t="str">
            <v>001.19.03160</v>
          </cell>
          <cell r="B1284" t="str">
            <v>Fornecimento E Instalação De Conector De Uso Geral - Emenda E Medição P/ Cabo Até Ø 120 Mm² 4P</v>
          </cell>
          <cell r="C1284" t="str">
            <v>un</v>
          </cell>
          <cell r="D1284">
            <v>23.7926</v>
          </cell>
        </row>
        <row r="1285">
          <cell r="A1285" t="str">
            <v>001.19.03180</v>
          </cell>
          <cell r="B1285" t="str">
            <v>Fornecimento E Instalação De Conector De Uso Geral - Split Bolt P/ Cabo Ø 16mm²</v>
          </cell>
          <cell r="C1285" t="str">
            <v>un</v>
          </cell>
          <cell r="D1285">
            <v>5.5625999999999998</v>
          </cell>
        </row>
        <row r="1286">
          <cell r="A1286" t="str">
            <v>001.19.03200</v>
          </cell>
          <cell r="B1286" t="str">
            <v>Fornecimento E Instalação De Conector De Uso Geral - Split Bolt P/ Cabo Ø 25 Mm²</v>
          </cell>
          <cell r="C1286" t="str">
            <v>un</v>
          </cell>
          <cell r="D1286">
            <v>5.8525999999999998</v>
          </cell>
        </row>
        <row r="1287">
          <cell r="A1287" t="str">
            <v>001.19.03220</v>
          </cell>
          <cell r="B1287" t="str">
            <v>Fornecimento E Instalação De Conector De Uso Geral - Split Bolt P/ Cabo Ø 35 Mm²</v>
          </cell>
          <cell r="C1287" t="str">
            <v>un</v>
          </cell>
          <cell r="D1287">
            <v>6.4226000000000001</v>
          </cell>
        </row>
        <row r="1288">
          <cell r="A1288" t="str">
            <v>001.19.03240</v>
          </cell>
          <cell r="B1288" t="str">
            <v>Fornecimento E Instalação De Conector De Uso Gera - Split Bolt P/ Cabo Ø 50 Mm²</v>
          </cell>
          <cell r="C1288" t="str">
            <v>un</v>
          </cell>
          <cell r="D1288">
            <v>7.2926000000000002</v>
          </cell>
        </row>
        <row r="1289">
          <cell r="A1289" t="str">
            <v>001.19.03260</v>
          </cell>
          <cell r="B1289" t="str">
            <v>Fornecimento E Instalação De Conector De Uso Geral - Split Bolt P/ Cabo Ø 70 Mm²</v>
          </cell>
          <cell r="C1289" t="str">
            <v>un</v>
          </cell>
          <cell r="D1289">
            <v>9.0226000000000006</v>
          </cell>
        </row>
        <row r="1290">
          <cell r="A1290" t="str">
            <v>001.19.03280</v>
          </cell>
          <cell r="B1290" t="str">
            <v>Fornecimento E Instalação De Conector De Uso Geral - Split Bolt P/ Cabo Até Ø 70 Mm²</v>
          </cell>
          <cell r="C1290" t="str">
            <v>un</v>
          </cell>
          <cell r="D1290">
            <v>11.332599999999999</v>
          </cell>
        </row>
        <row r="1291">
          <cell r="A1291" t="str">
            <v>001.19.03300</v>
          </cell>
          <cell r="B1291" t="str">
            <v>Fornecimento E Instalação De Conector De Uso Geral - Split Bolt C/ Pino E Porca P/ Cabo Ø 16 Mm²</v>
          </cell>
          <cell r="C1291" t="str">
            <v>un</v>
          </cell>
          <cell r="D1291">
            <v>7.2926000000000002</v>
          </cell>
        </row>
        <row r="1292">
          <cell r="A1292" t="str">
            <v>001.19.03320</v>
          </cell>
          <cell r="B1292" t="str">
            <v>Fornecimento E Instalação De Conector De Uso Geral - Split Bolt C/ Pino E Porca P/ Cabo Ø 25 Mm²</v>
          </cell>
          <cell r="C1292" t="str">
            <v>un</v>
          </cell>
          <cell r="D1292">
            <v>6.8625999999999996</v>
          </cell>
        </row>
        <row r="1293">
          <cell r="A1293" t="str">
            <v>001.19.03340</v>
          </cell>
          <cell r="B1293" t="str">
            <v>Fornecimento E Instalação De Conector De Uso Geral - Split Bolt C/ Pino E Porca P/ Cabo Ø 35 Mm²</v>
          </cell>
          <cell r="C1293" t="str">
            <v>un</v>
          </cell>
          <cell r="D1293">
            <v>7.3026</v>
          </cell>
        </row>
        <row r="1294">
          <cell r="A1294" t="str">
            <v>001.19.03360</v>
          </cell>
          <cell r="B1294" t="str">
            <v>Fornecimento E Instalação De Conector De Uso Geral - Split Bolt C/ Pino E Porca P/ Cabo Ø 50 Mm²</v>
          </cell>
          <cell r="C1294" t="str">
            <v>un</v>
          </cell>
          <cell r="D1294">
            <v>8.2726000000000006</v>
          </cell>
        </row>
        <row r="1295">
          <cell r="A1295" t="str">
            <v>001.19.03380</v>
          </cell>
          <cell r="B1295" t="str">
            <v>Fornecimento E Instalação De Conector De Uso Geral - Split Bolt C/ Pino E Porca P/ Cabo Ø 70 Mm²</v>
          </cell>
          <cell r="C1295" t="str">
            <v>un</v>
          </cell>
          <cell r="D1295">
            <v>11.442600000000001</v>
          </cell>
        </row>
        <row r="1296">
          <cell r="A1296" t="str">
            <v>001.19.03400</v>
          </cell>
          <cell r="B1296" t="str">
            <v>Fornecimento E Instalação De Conector De Uso Geral - Terminal De Pressão C/ Passagem Frontal P/ Cabo Ø 16 Mm²</v>
          </cell>
          <cell r="C1296" t="str">
            <v>un</v>
          </cell>
          <cell r="D1296">
            <v>10.4626</v>
          </cell>
        </row>
        <row r="1297">
          <cell r="A1297" t="str">
            <v>001.19.03420</v>
          </cell>
          <cell r="B1297" t="str">
            <v>Fornecimento E Instalação De Conector De Uso Gera - Terminal De Pressão C/ Passagem Frontal P/ Cabo Ø 25 Mm²</v>
          </cell>
          <cell r="C1297" t="str">
            <v>un</v>
          </cell>
          <cell r="D1297">
            <v>4.7926000000000002</v>
          </cell>
        </row>
        <row r="1298">
          <cell r="A1298" t="str">
            <v>001.19.03440</v>
          </cell>
          <cell r="B1298" t="str">
            <v>Fornecimento E Instalação De Conector De Uso Geral - Terminal De Pressão C/ Passagem Frontal P/ Cabo Ø 35 Mm²</v>
          </cell>
          <cell r="C1298" t="str">
            <v>un</v>
          </cell>
          <cell r="D1298">
            <v>5.0826000000000002</v>
          </cell>
        </row>
        <row r="1299">
          <cell r="A1299" t="str">
            <v>001.19.03460</v>
          </cell>
          <cell r="B1299" t="str">
            <v>Fornecimento E Instalação De Conector De Uso Geral - Terminal De Pressão C/ Passagem Frontal P/ Cabo Ø 50 Mm²</v>
          </cell>
          <cell r="C1299" t="str">
            <v>un</v>
          </cell>
          <cell r="D1299">
            <v>5.4626000000000001</v>
          </cell>
        </row>
        <row r="1300">
          <cell r="A1300" t="str">
            <v>001.19.03480</v>
          </cell>
          <cell r="B1300" t="str">
            <v>Fornecimento E Instalação De Conector De Uso Geral - Terminal De Pressão C/ Passagem Frontal P/ Cabo Ø 70 Mm²</v>
          </cell>
          <cell r="C1300" t="str">
            <v>un</v>
          </cell>
          <cell r="D1300">
            <v>6.1125999999999996</v>
          </cell>
        </row>
        <row r="1301">
          <cell r="A1301" t="str">
            <v>001.19.03500</v>
          </cell>
          <cell r="B1301" t="str">
            <v>Fornecimento E Instalação De Conector De Uso Geral - Terminal De Pressão C/ Passagem Lateral P/ Cabo Ø 16 Mm²</v>
          </cell>
          <cell r="C1301" t="str">
            <v>un</v>
          </cell>
          <cell r="D1301">
            <v>7.5125999999999999</v>
          </cell>
        </row>
        <row r="1302">
          <cell r="A1302" t="str">
            <v>001.19.03520</v>
          </cell>
          <cell r="B1302" t="str">
            <v>Fornecimento E Instalação De Conector De Uso Geral - Terminal De Pressão C/ Passagem Lateral P/ Cabo Ø 25 Mm²</v>
          </cell>
          <cell r="C1302" t="str">
            <v>un</v>
          </cell>
          <cell r="D1302">
            <v>7.5125999999999999</v>
          </cell>
        </row>
        <row r="1303">
          <cell r="A1303" t="str">
            <v>001.19.03540</v>
          </cell>
          <cell r="B1303" t="str">
            <v>Fornecimento E Instalação De Conector De Uso Geral - Terminal De Pressão C/ Passagem Lateral P/ Cabo Ø 35 Mm²</v>
          </cell>
          <cell r="C1303" t="str">
            <v>un</v>
          </cell>
          <cell r="D1303">
            <v>7.5125999999999999</v>
          </cell>
        </row>
        <row r="1304">
          <cell r="A1304" t="str">
            <v>001.19.03560</v>
          </cell>
          <cell r="B1304" t="str">
            <v>Fornecimento E Instalação De Conector De Uso Geral - Terminal De Pressão C/ Passagem Lateral P/ Cabo Ø 50 Mm²</v>
          </cell>
          <cell r="C1304" t="str">
            <v>un</v>
          </cell>
          <cell r="D1304">
            <v>10.762600000000001</v>
          </cell>
        </row>
        <row r="1305">
          <cell r="A1305" t="str">
            <v>001.19.03580</v>
          </cell>
          <cell r="B1305" t="str">
            <v>Fornecimento E Instalação De Conector De Uso Geral - Terminal De Pressão C/ Passagem Lateral P/ Cabo Ø 70 Mm²</v>
          </cell>
          <cell r="C1305" t="str">
            <v>un</v>
          </cell>
          <cell r="D1305">
            <v>10.762600000000001</v>
          </cell>
        </row>
        <row r="1306">
          <cell r="A1306" t="str">
            <v>001.19.03600</v>
          </cell>
          <cell r="B1306" t="str">
            <v>Fornecimento E Instalação De Conector De Uso Geral - Tensionador P/ Cabo Cobre Até Ø95 Mm²</v>
          </cell>
          <cell r="C1306" t="str">
            <v>un</v>
          </cell>
          <cell r="D1306">
            <v>9.2826000000000004</v>
          </cell>
        </row>
        <row r="1307">
          <cell r="A1307" t="str">
            <v>001.19.03620</v>
          </cell>
          <cell r="B1307" t="str">
            <v>Fornecimento E Instalação De Conector De Uso Geral - Terminal De Pressão C/ 4 Parafusos P/ Cabo Ø 16/35 Mm²</v>
          </cell>
          <cell r="C1307" t="str">
            <v>un</v>
          </cell>
          <cell r="D1307">
            <v>10.4626</v>
          </cell>
        </row>
        <row r="1308">
          <cell r="A1308" t="str">
            <v>001.19.03640</v>
          </cell>
          <cell r="B1308" t="str">
            <v>Fornecimento E Instalação De Conector De Uso Geral - Terminal De Pressão C/ 4 Parafusos P/ Cabo Ø35/70 Mm²</v>
          </cell>
          <cell r="C1308" t="str">
            <v>un</v>
          </cell>
          <cell r="D1308">
            <v>13.5726</v>
          </cell>
        </row>
        <row r="1309">
          <cell r="A1309" t="str">
            <v>001.19.03660</v>
          </cell>
          <cell r="B1309" t="str">
            <v>Fornecimento E Instalação De Conector De Uso Geral - Terminal Tipo X De Latão P/ Cabo Até Ø50 Mm²</v>
          </cell>
          <cell r="C1309" t="str">
            <v>un</v>
          </cell>
          <cell r="D1309">
            <v>8.0126000000000008</v>
          </cell>
        </row>
        <row r="1310">
          <cell r="A1310" t="str">
            <v>001.19.03680</v>
          </cell>
          <cell r="B1310" t="str">
            <v>Fornecimento E Instalação De Conector De Uso Geral - Abraçadeira Tipo Ômega P/ Cabo Ø 16 Mm²</v>
          </cell>
          <cell r="C1310" t="str">
            <v>un</v>
          </cell>
          <cell r="D1310">
            <v>5.9325999999999999</v>
          </cell>
        </row>
        <row r="1311">
          <cell r="A1311" t="str">
            <v>001.19.03700</v>
          </cell>
          <cell r="B1311" t="str">
            <v>Fornecimento E Instalação De Conector De Uso Geral - Abraçadeira Tipo Ômega P/ Cabo Ø35 Mm²</v>
          </cell>
          <cell r="C1311" t="str">
            <v>un</v>
          </cell>
          <cell r="D1311">
            <v>5.9325999999999999</v>
          </cell>
        </row>
        <row r="1312">
          <cell r="A1312" t="str">
            <v>001.19.03720</v>
          </cell>
          <cell r="B1312" t="str">
            <v>Fornecimento e instalação de componentes de fixação - chapa de fixação tipo unha</v>
          </cell>
          <cell r="C1312" t="str">
            <v>un</v>
          </cell>
          <cell r="D1312">
            <v>2.9350999999999998</v>
          </cell>
        </row>
        <row r="1313">
          <cell r="A1313" t="str">
            <v>001.19.03740</v>
          </cell>
          <cell r="B1313" t="str">
            <v>Fornecimento E Instalação De Componentes De Fixação - Abraçadeira 3 Estais P/ Mastro De 1. ¹/²''</v>
          </cell>
          <cell r="C1313" t="str">
            <v>un</v>
          </cell>
          <cell r="D1313">
            <v>5.9250999999999996</v>
          </cell>
        </row>
        <row r="1314">
          <cell r="A1314" t="str">
            <v>001.19.03760</v>
          </cell>
          <cell r="B1314" t="str">
            <v>Fornecimento E Instalação De Componentes De Fixação - Abraçadeira 3 Estais  P/ Mastro 2''</v>
          </cell>
          <cell r="C1314" t="str">
            <v>un</v>
          </cell>
          <cell r="D1314">
            <v>5.9250999999999996</v>
          </cell>
        </row>
        <row r="1315">
          <cell r="A1315" t="str">
            <v>001.19.03780</v>
          </cell>
          <cell r="B1315" t="str">
            <v>Fornecimento E Instalação De Componentes De Fixação - Abraçadeira 4 Estais P/ Mastro De 1. ¹/²''</v>
          </cell>
          <cell r="C1315" t="str">
            <v>un</v>
          </cell>
          <cell r="D1315">
            <v>7.1451000000000002</v>
          </cell>
        </row>
        <row r="1316">
          <cell r="A1316" t="str">
            <v>001.19.03800</v>
          </cell>
          <cell r="B1316" t="str">
            <v>Fornecimento E Instalação De Componentes De Fixação - Abraçadeira 4 Estais P/ Mastro De 2''</v>
          </cell>
          <cell r="C1316" t="str">
            <v>un</v>
          </cell>
          <cell r="D1316">
            <v>7.1451000000000002</v>
          </cell>
        </row>
        <row r="1317">
          <cell r="A1317" t="str">
            <v>001.19.03820</v>
          </cell>
          <cell r="B1317" t="str">
            <v>Fornecimento E Instalação De Componentes De Fixação - Fixador De Estais P/ Tubo</v>
          </cell>
          <cell r="C1317" t="str">
            <v>un</v>
          </cell>
          <cell r="D1317">
            <v>3.6551</v>
          </cell>
        </row>
        <row r="1318">
          <cell r="A1318" t="str">
            <v>001.19.03840</v>
          </cell>
          <cell r="B1318" t="str">
            <v>Fornecimento E Instalação De Componentes De Fixação - Fixador De Estais P/ Cabo</v>
          </cell>
          <cell r="C1318" t="str">
            <v>un</v>
          </cell>
          <cell r="D1318">
            <v>3.1751</v>
          </cell>
        </row>
        <row r="1319">
          <cell r="A1319" t="str">
            <v>001.19.03860</v>
          </cell>
          <cell r="B1319" t="str">
            <v>Fornecimento E Instalação De Componentes De Fixação - Manilha De 1/4''</v>
          </cell>
          <cell r="C1319" t="str">
            <v>un</v>
          </cell>
          <cell r="D1319">
            <v>9.4451000000000001</v>
          </cell>
        </row>
        <row r="1320">
          <cell r="A1320" t="str">
            <v>001.19.03880</v>
          </cell>
          <cell r="B1320" t="str">
            <v>Fornecimento E Instalação De Componentes De Fixação - Esticador P/ Cabo De Aço De 3/16''</v>
          </cell>
          <cell r="C1320" t="str">
            <v>un</v>
          </cell>
          <cell r="D1320">
            <v>7.6551</v>
          </cell>
        </row>
        <row r="1321">
          <cell r="A1321" t="str">
            <v>001.19.03900</v>
          </cell>
          <cell r="B1321" t="str">
            <v>Fornecimento E Instalação De Componentes De Fixação - Esticador P/ Cabo De Aço De 1/4''</v>
          </cell>
          <cell r="C1321" t="str">
            <v>un</v>
          </cell>
          <cell r="D1321">
            <v>8.8551000000000002</v>
          </cell>
        </row>
        <row r="1322">
          <cell r="A1322" t="str">
            <v>001.19.03920</v>
          </cell>
          <cell r="B1322" t="str">
            <v>Fornecimento E Instalação De Componentes De Fixação - Sapatilha De 3/16''</v>
          </cell>
          <cell r="C1322" t="str">
            <v>un</v>
          </cell>
          <cell r="D1322">
            <v>3.0750999999999999</v>
          </cell>
        </row>
        <row r="1323">
          <cell r="A1323" t="str">
            <v>001.19.03940</v>
          </cell>
          <cell r="B1323" t="str">
            <v>Fornecimento E Instalação De Componentes De Fixação - Sapatilha De 1/4''</v>
          </cell>
          <cell r="C1323" t="str">
            <v>un</v>
          </cell>
          <cell r="D1323">
            <v>3.4051</v>
          </cell>
        </row>
        <row r="1324">
          <cell r="A1324" t="str">
            <v>001.19.03960</v>
          </cell>
          <cell r="B1324" t="str">
            <v>Fornecimeto E Instalação De Componentes De Fixação - Grampo Crosby De 3/16''</v>
          </cell>
          <cell r="C1324" t="str">
            <v>un</v>
          </cell>
          <cell r="D1324">
            <v>3.0251000000000001</v>
          </cell>
        </row>
        <row r="1325">
          <cell r="A1325" t="str">
            <v>001.19.03980</v>
          </cell>
          <cell r="B1325" t="str">
            <v>Fornecimento E Instalação De Componentes De Fixação - Grampo Crosby De 1/4''</v>
          </cell>
          <cell r="C1325" t="str">
            <v>un</v>
          </cell>
          <cell r="D1325">
            <v>3.0750999999999999</v>
          </cell>
        </row>
        <row r="1326">
          <cell r="A1326" t="str">
            <v>001.19.04000</v>
          </cell>
          <cell r="B1326" t="str">
            <v>Fornecimento E Instalação De Componentes De Fixação - Abraçadeira Tipo ""D"" C/ Cunha De 3/4''</v>
          </cell>
          <cell r="C1326" t="str">
            <v>un</v>
          </cell>
          <cell r="D1326">
            <v>2.6751</v>
          </cell>
        </row>
        <row r="1327">
          <cell r="A1327" t="str">
            <v>001.19.04020</v>
          </cell>
          <cell r="B1327" t="str">
            <v>Fornecimento  Instalação De Componentes De Fixação - Abraçadeira Tipo ""D"" C/ Cunha De 1''</v>
          </cell>
          <cell r="C1327" t="str">
            <v>un</v>
          </cell>
          <cell r="D1327">
            <v>2.8451</v>
          </cell>
        </row>
        <row r="1328">
          <cell r="A1328" t="str">
            <v>001.19.04040</v>
          </cell>
          <cell r="B1328" t="str">
            <v>Fornecimento E Instalação De Componentes De Fixação - Abraçadeira Tipo ""D"" C/ Cunha De 1.¹/4''</v>
          </cell>
          <cell r="C1328" t="str">
            <v>un</v>
          </cell>
          <cell r="D1328">
            <v>3.4950999999999999</v>
          </cell>
        </row>
        <row r="1329">
          <cell r="A1329" t="str">
            <v>001.19.04060</v>
          </cell>
          <cell r="B1329" t="str">
            <v>Fornecimento E Instalação De Componentes De Fixação - Abraçadeira Tipo ""D"" C/ Cunha De 1.¹/²''</v>
          </cell>
          <cell r="C1329" t="str">
            <v>un</v>
          </cell>
          <cell r="D1329">
            <v>3.4950999999999999</v>
          </cell>
        </row>
        <row r="1330">
          <cell r="A1330" t="str">
            <v>001.19.04080</v>
          </cell>
          <cell r="B1330" t="str">
            <v>Fornecimento E Instalação De Componentes De Fixação - Abraçadeira Tipo ""D"" C/ Cunha De 2''</v>
          </cell>
          <cell r="C1330" t="str">
            <v>un</v>
          </cell>
          <cell r="D1330">
            <v>3.7951000000000001</v>
          </cell>
        </row>
        <row r="1331">
          <cell r="A1331" t="str">
            <v>001.19.04100</v>
          </cell>
          <cell r="B1331" t="str">
            <v>Fornecimento E Instalação De Componentes De Fixação - Parafuso Sextavado C/ Bucha De Pvc Rosca Sob. 1/4'' X 1. ¹/²'' DZ</v>
          </cell>
          <cell r="C1331" t="str">
            <v>ct</v>
          </cell>
          <cell r="D1331">
            <v>2.1650999999999998</v>
          </cell>
        </row>
        <row r="1332">
          <cell r="A1332" t="str">
            <v>001.19.04120</v>
          </cell>
          <cell r="B1332" t="str">
            <v>Fornecimento E Instalação De Componentes De Fixação - Parafuso Sextavado C/ Bucha De Pvc Rosca Sob. 5/16'' X 1. ¹/²''DZ</v>
          </cell>
          <cell r="C1332" t="str">
            <v>ct</v>
          </cell>
          <cell r="D1332">
            <v>2.2951000000000001</v>
          </cell>
        </row>
        <row r="1333">
          <cell r="A1333" t="str">
            <v>001.19.04140</v>
          </cell>
          <cell r="B1333" t="str">
            <v>Fornecimento E Instalação De Componentes De Fixação - Parafuso Sextavado C/ Bucha De Pvc Rosca Sob. 5/16'' X 2'' DZ</v>
          </cell>
          <cell r="C1333" t="str">
            <v>ct</v>
          </cell>
          <cell r="D1333">
            <v>2.3351000000000002</v>
          </cell>
        </row>
        <row r="1334">
          <cell r="A1334" t="str">
            <v>001.19.04160</v>
          </cell>
          <cell r="B1334" t="str">
            <v>Fornecimento E Instalação De Conj. De Contraventegem Com Cabo P/ Mastro 1. ¹/²''</v>
          </cell>
          <cell r="C1334" t="str">
            <v>cj</v>
          </cell>
          <cell r="D1334">
            <v>109.0183</v>
          </cell>
        </row>
        <row r="1335">
          <cell r="A1335" t="str">
            <v>001.19.04180</v>
          </cell>
          <cell r="B1335" t="str">
            <v>Fornecimento E Instalação De Conj. De Contraventagem Com Cabo P/ Mastro 2''</v>
          </cell>
          <cell r="C1335" t="str">
            <v>cj</v>
          </cell>
          <cell r="D1335">
            <v>109.2383</v>
          </cell>
        </row>
        <row r="1336">
          <cell r="A1336" t="str">
            <v>001.19.04200</v>
          </cell>
          <cell r="B1336" t="str">
            <v>Fornecimento E Instalação De Componentes P/ Aterramento - Conector Cabo/Haste Tipo Olhal Reforçado 3/4''</v>
          </cell>
          <cell r="C1336" t="str">
            <v>un</v>
          </cell>
          <cell r="D1336">
            <v>5.9263000000000003</v>
          </cell>
        </row>
        <row r="1337">
          <cell r="A1337" t="str">
            <v>001.19.04220</v>
          </cell>
          <cell r="B1337" t="str">
            <v>Fornecimento E Instalação De Componentes P/ Aterramento - Conector Cabo/Haste Tipo Olhal Reforçado 5/8''</v>
          </cell>
          <cell r="C1337" t="str">
            <v>un</v>
          </cell>
          <cell r="D1337">
            <v>4.6763000000000003</v>
          </cell>
        </row>
        <row r="1338">
          <cell r="A1338" t="str">
            <v>001.19.04240</v>
          </cell>
          <cell r="B1338" t="str">
            <v>Fornecimento E Instalação De Componentes P/ Aterramento Cabo/Haste Tipo Olhal Leve 5/8''</v>
          </cell>
          <cell r="C1338" t="str">
            <v>un</v>
          </cell>
          <cell r="D1338">
            <v>8.3163</v>
          </cell>
        </row>
        <row r="1339">
          <cell r="A1339" t="str">
            <v>001.19.04260</v>
          </cell>
          <cell r="B1339" t="str">
            <v>Fornecimento E Instalação De Componentes P/ Aterramento - Luva De Emenda P/ Haste De 5/8''</v>
          </cell>
          <cell r="C1339" t="str">
            <v>un</v>
          </cell>
          <cell r="D1339">
            <v>7.7563000000000004</v>
          </cell>
        </row>
        <row r="1340">
          <cell r="A1340" t="str">
            <v>001.19.04280</v>
          </cell>
          <cell r="B1340" t="str">
            <v>Fornecimento E Instalação De Componentes P/ Aterramento - Luva De Emenda P/ Haste De 3/4''</v>
          </cell>
          <cell r="C1340" t="str">
            <v>un</v>
          </cell>
          <cell r="D1340">
            <v>7.7563000000000004</v>
          </cell>
        </row>
        <row r="1341">
          <cell r="A1341" t="str">
            <v>001.19.04300</v>
          </cell>
          <cell r="B1341" t="str">
            <v>Fornecimento e Instalação de Componentes  p/ Aterramento - Conector Cabo/Haste Tipo Grampo</v>
          </cell>
          <cell r="C1341" t="str">
            <v>un</v>
          </cell>
          <cell r="D1341">
            <v>4.6763000000000003</v>
          </cell>
        </row>
        <row r="1342">
          <cell r="A1342" t="str">
            <v>001.19.04320</v>
          </cell>
          <cell r="B1342" t="str">
            <v>Fornecimento E Inwstalação De Componentes P/ Aterramento - Haste Aterramento AC De 5/8'' X 2,40m</v>
          </cell>
          <cell r="C1342" t="str">
            <v>un</v>
          </cell>
          <cell r="D1342">
            <v>32.567700000000002</v>
          </cell>
        </row>
        <row r="1343">
          <cell r="A1343" t="str">
            <v>001.19.04340</v>
          </cell>
          <cell r="B1343" t="str">
            <v>Fornecimento E Instalação De Componentes P/ Aterramento - Haste Aterramento  AC De 5/8'' X 3,00 M</v>
          </cell>
          <cell r="C1343" t="str">
            <v>un</v>
          </cell>
          <cell r="D1343">
            <v>38.967700000000001</v>
          </cell>
        </row>
        <row r="1344">
          <cell r="A1344" t="str">
            <v>001.19.04360</v>
          </cell>
          <cell r="B1344" t="str">
            <v>Fornecimento E Instalação De Componentes P/ Aterramento - Haste Aterramento AC De 3/4'' X 2,40 M</v>
          </cell>
          <cell r="C1344" t="str">
            <v>un</v>
          </cell>
          <cell r="D1344">
            <v>43.447699999999998</v>
          </cell>
        </row>
        <row r="1345">
          <cell r="A1345" t="str">
            <v>001.19.04380</v>
          </cell>
          <cell r="B1345" t="str">
            <v>Fornecimento E Instalação De Componentes P/ Aterramento - Haste Aterramento AC De 3/4'' X 300 M</v>
          </cell>
          <cell r="C1345" t="str">
            <v>un</v>
          </cell>
          <cell r="D1345">
            <v>52.9377</v>
          </cell>
        </row>
        <row r="1346">
          <cell r="A1346" t="str">
            <v>001.19.04400</v>
          </cell>
          <cell r="B1346" t="str">
            <v>Forecimento E Instalação De Componentes P/ Aterramento - Haste Aterramento BC De 5/8'' X 2,40 M</v>
          </cell>
          <cell r="C1346" t="str">
            <v>un</v>
          </cell>
          <cell r="D1346">
            <v>20.247699999999998</v>
          </cell>
        </row>
        <row r="1347">
          <cell r="A1347" t="str">
            <v>001.19.04420</v>
          </cell>
          <cell r="B1347" t="str">
            <v>Fornecimento E Instalação De Componentes P/ Aterramento - Haste Aterramento BC De 5/8'' X 3,00 M</v>
          </cell>
          <cell r="C1347" t="str">
            <v>un</v>
          </cell>
          <cell r="D1347">
            <v>29.607700000000001</v>
          </cell>
        </row>
        <row r="1348">
          <cell r="A1348" t="str">
            <v>001.19.04440</v>
          </cell>
          <cell r="B1348" t="str">
            <v>Fornecimento E Instalação De Componentes P/ Aterramento - Haste Aterramento BC De 3/4'' X 2,40 M</v>
          </cell>
          <cell r="C1348" t="str">
            <v>un</v>
          </cell>
          <cell r="D1348">
            <v>36.6877</v>
          </cell>
        </row>
        <row r="1349">
          <cell r="A1349" t="str">
            <v>001.19.04460</v>
          </cell>
          <cell r="B1349" t="str">
            <v>Fornecimento E Instalação De Componentes P/ Aterramento - Haste Aterramento BC De 3/4'' X 3,00 M</v>
          </cell>
          <cell r="C1349" t="str">
            <v>un</v>
          </cell>
          <cell r="D1349">
            <v>39.9377</v>
          </cell>
        </row>
        <row r="1350">
          <cell r="A1350" t="str">
            <v>001.19.04480</v>
          </cell>
          <cell r="B1350" t="str">
            <v>Fornecimento E Instalação De Sinalizadores - Aparelhos Sinalizadores Simples S/ Célula</v>
          </cell>
          <cell r="C1350" t="str">
            <v>un</v>
          </cell>
          <cell r="D1350">
            <v>22.027699999999999</v>
          </cell>
        </row>
        <row r="1351">
          <cell r="A1351" t="str">
            <v>001.19.04500</v>
          </cell>
          <cell r="B1351" t="str">
            <v>Fornecimento E Instalação De Sinalizadores - Aparelhos Sinalizadores Simples C/ Célula</v>
          </cell>
          <cell r="C1351" t="str">
            <v>un</v>
          </cell>
          <cell r="D1351">
            <v>35.887700000000002</v>
          </cell>
        </row>
        <row r="1352">
          <cell r="A1352" t="str">
            <v>001.19.04520</v>
          </cell>
          <cell r="B1352" t="str">
            <v>Fornecimento E Instalação De Sinalizadores - Aparelhos Sinalizadores Duplo S/ Célula</v>
          </cell>
          <cell r="C1352" t="str">
            <v>un</v>
          </cell>
          <cell r="D1352">
            <v>41.237699999999997</v>
          </cell>
        </row>
        <row r="1353">
          <cell r="A1353" t="str">
            <v>001.19.04540</v>
          </cell>
          <cell r="B1353" t="str">
            <v>Fornecimento E Instalação De Sinalizadores - Aparelhos Sinalizadores Duplo C/ Célula</v>
          </cell>
          <cell r="C1353" t="str">
            <v>un</v>
          </cell>
          <cell r="D1353">
            <v>74.887699999999995</v>
          </cell>
        </row>
        <row r="1354">
          <cell r="A1354" t="str">
            <v>001.19.04560</v>
          </cell>
          <cell r="B1354" t="str">
            <v>Fornecimento E Instalação De Abraçadeira P/ Sinalizador De 1. ¹/²''</v>
          </cell>
          <cell r="C1354" t="str">
            <v>un</v>
          </cell>
          <cell r="D1354">
            <v>5.4851000000000001</v>
          </cell>
        </row>
        <row r="1355">
          <cell r="A1355" t="str">
            <v>001.19.04580</v>
          </cell>
          <cell r="B1355" t="str">
            <v>Fornecimento E Instalação De Abraçadeira P/ Sinalizador De 2''</v>
          </cell>
          <cell r="C1355" t="str">
            <v>un</v>
          </cell>
          <cell r="D1355">
            <v>5.6250999999999998</v>
          </cell>
        </row>
        <row r="1356">
          <cell r="A1356" t="str">
            <v>001.20</v>
          </cell>
          <cell r="B1356" t="str">
            <v>INSTALAÇÕES ELÉTRICAS - EQUIPAMENTOS</v>
          </cell>
          <cell r="D1356">
            <v>73781.902000000002</v>
          </cell>
        </row>
        <row r="1357">
          <cell r="A1357" t="str">
            <v>001.20.00020</v>
          </cell>
          <cell r="B1357" t="str">
            <v>Conjunto motor bomba centrífuga trifásica 50 a 60 hz para sucção até 6m pot. 1/2 hp</v>
          </cell>
          <cell r="C1357" t="str">
            <v>CJ</v>
          </cell>
          <cell r="D1357">
            <v>288.70030000000003</v>
          </cell>
        </row>
        <row r="1358">
          <cell r="A1358" t="str">
            <v>001.20.00040</v>
          </cell>
          <cell r="B1358" t="str">
            <v>Conjunto motor bomba centrífuga trifásica 50 a 60 hz para sucção até 6m pot. 3/4 hp</v>
          </cell>
          <cell r="C1358" t="str">
            <v>CJ</v>
          </cell>
          <cell r="D1358">
            <v>299.70030000000003</v>
          </cell>
        </row>
        <row r="1359">
          <cell r="A1359" t="str">
            <v>001.20.00060</v>
          </cell>
          <cell r="B1359" t="str">
            <v>Conjunto motor bomba centrífuga trifásica 50 a 60 hz para sucção até 6m pot. 1 hp</v>
          </cell>
          <cell r="C1359" t="str">
            <v>CJ</v>
          </cell>
          <cell r="D1359">
            <v>389.57139999999998</v>
          </cell>
        </row>
        <row r="1360">
          <cell r="A1360" t="str">
            <v>001.20.00080</v>
          </cell>
          <cell r="B1360" t="str">
            <v>Conjunto motor bomba centrífuga trifásica 50 a 60 hz para sucção até 6m pot. 1 1/2"""""""" hp</v>
          </cell>
          <cell r="C1360" t="str">
            <v>CJ</v>
          </cell>
          <cell r="D1360">
            <v>466.57139999999998</v>
          </cell>
        </row>
        <row r="1361">
          <cell r="A1361" t="str">
            <v>001.20.00100</v>
          </cell>
          <cell r="B1361" t="str">
            <v>Conjunto motor bomba centrífuga trifásica 50 a 60 hz para sucção até 6m pot. 2"""""""" hp</v>
          </cell>
          <cell r="C1361" t="str">
            <v>CJ</v>
          </cell>
          <cell r="D1361">
            <v>499.4425</v>
          </cell>
        </row>
        <row r="1362">
          <cell r="A1362" t="str">
            <v>001.20.00120</v>
          </cell>
          <cell r="B1362" t="str">
            <v>Conjunto motor bomba centrifuga monoestagio com bocais flangeados - cf-7 mark ou similar - 03 cv</v>
          </cell>
          <cell r="C1362" t="str">
            <v>UN</v>
          </cell>
          <cell r="D1362">
            <v>276.4425</v>
          </cell>
        </row>
        <row r="1363">
          <cell r="A1363" t="str">
            <v>001.20.00140</v>
          </cell>
          <cell r="B1363" t="str">
            <v>Fornecimento e Instalação de Ar Condicionado Tipo Split 9 000 BTUS, Linha Tempstar ou Mesmo Padrão</v>
          </cell>
          <cell r="C1363" t="str">
            <v>CJ</v>
          </cell>
          <cell r="D1363">
            <v>2150</v>
          </cell>
        </row>
        <row r="1364">
          <cell r="A1364" t="str">
            <v>001.20.00160</v>
          </cell>
          <cell r="B1364" t="str">
            <v>Fornecimento e Instalação de Ar Condicionado Tipo Split 12 000 BTUS, Linha Tempstar ou Mesmo Padrão</v>
          </cell>
          <cell r="C1364" t="str">
            <v>CJ</v>
          </cell>
          <cell r="D1364">
            <v>2520</v>
          </cell>
        </row>
        <row r="1365">
          <cell r="A1365" t="str">
            <v>001.20.00165</v>
          </cell>
          <cell r="B1365" t="str">
            <v>Fornecimento e Instalação de Ar Condicionado Tipo Split 18 000 BTUS, Linha Tempstar ou Mesmo Padrão</v>
          </cell>
          <cell r="C1365" t="str">
            <v>CJ</v>
          </cell>
          <cell r="D1365">
            <v>2960</v>
          </cell>
        </row>
        <row r="1366">
          <cell r="A1366" t="str">
            <v>001.20.00170</v>
          </cell>
          <cell r="B1366" t="str">
            <v>Fornecimento e Instalação de Ar Condicionado Tipo Split 22 000 BTUS, Linha Tempstar ou Mesmo Padrão</v>
          </cell>
          <cell r="C1366" t="str">
            <v>CJ</v>
          </cell>
          <cell r="D1366">
            <v>4090</v>
          </cell>
        </row>
        <row r="1367">
          <cell r="A1367" t="str">
            <v>001.20.00175</v>
          </cell>
          <cell r="B1367" t="str">
            <v>Fornecimento e Instalação de Ar Condicionado Tipo Split 36 000 BTUS, Linha Tempstar ou Mesmo Padrão</v>
          </cell>
          <cell r="C1367" t="str">
            <v>CJ</v>
          </cell>
          <cell r="D1367">
            <v>5960</v>
          </cell>
        </row>
        <row r="1368">
          <cell r="A1368" t="str">
            <v>001.20.00180</v>
          </cell>
          <cell r="B1368" t="str">
            <v>Fornecimento e Instalação de Ar Condicionado Tipo Split 48 000 BTUS, Linha Tempstar ou Mesmo Padrão</v>
          </cell>
          <cell r="C1368" t="str">
            <v>CJ</v>
          </cell>
          <cell r="D1368">
            <v>7000</v>
          </cell>
        </row>
        <row r="1369">
          <cell r="A1369" t="str">
            <v>001.20.00200</v>
          </cell>
          <cell r="B1369" t="str">
            <v>Fornecimento e Instalação de Ar Condicionado Tipo Split 60 000 BTUS, Linha Tempstar ou Mesmo Padrão</v>
          </cell>
          <cell r="C1369" t="str">
            <v>CJ</v>
          </cell>
          <cell r="D1369">
            <v>7630</v>
          </cell>
        </row>
        <row r="1370">
          <cell r="A1370" t="str">
            <v>001.20.00220</v>
          </cell>
          <cell r="B1370" t="str">
            <v>Fornecimento e Instalação de Ar Condicionado Tipo Split 7 000 BTUS, Linha Silence ou Mesmo Padrão</v>
          </cell>
          <cell r="C1370" t="str">
            <v>CJ</v>
          </cell>
          <cell r="D1370">
            <v>2205</v>
          </cell>
        </row>
        <row r="1371">
          <cell r="A1371" t="str">
            <v>001.20.00240</v>
          </cell>
          <cell r="B1371" t="str">
            <v>Fornecimento e Instalação de Ar Condicionado Tipo Split 9 000 BTUS, Linha Silence ou Mesmo Padrão</v>
          </cell>
          <cell r="C1371" t="str">
            <v>CJ</v>
          </cell>
          <cell r="D1371">
            <v>2510</v>
          </cell>
        </row>
        <row r="1372">
          <cell r="A1372" t="str">
            <v>001.20.00260</v>
          </cell>
          <cell r="B1372" t="str">
            <v>Fornecimento e Instalação de Ar Condicionado Tipo Split 12 000 BTUS, Linha Silence ou Mesmo Padrão</v>
          </cell>
          <cell r="C1372" t="str">
            <v>CJ</v>
          </cell>
          <cell r="D1372">
            <v>2980</v>
          </cell>
        </row>
        <row r="1373">
          <cell r="A1373" t="str">
            <v>001.20.00265</v>
          </cell>
          <cell r="B1373" t="str">
            <v>Fornecimento e Instalação de Ar Condicionado Tipo Split 18 000 BTUS, Linha Silence ou Mesmo Padrão</v>
          </cell>
          <cell r="C1373" t="str">
            <v>CJ</v>
          </cell>
          <cell r="D1373">
            <v>4000</v>
          </cell>
        </row>
        <row r="1374">
          <cell r="A1374" t="str">
            <v>001.20.00270</v>
          </cell>
          <cell r="B1374" t="str">
            <v>Fornecimento e Instalação de Ar Condicionado Tipo Split 24 000 BTUS, Linha Silence ou Mesmo Padrão</v>
          </cell>
          <cell r="C1374" t="str">
            <v>CJ</v>
          </cell>
          <cell r="D1374">
            <v>4420</v>
          </cell>
        </row>
        <row r="1375">
          <cell r="A1375" t="str">
            <v>001.20.00275</v>
          </cell>
          <cell r="B1375" t="str">
            <v>Fornecimento e Instalação de Ar Condicionado Tipo Split 36 000 BTUS, Linha Modernitá ou Mesmo Padrão</v>
          </cell>
          <cell r="C1375" t="str">
            <v>CJ</v>
          </cell>
          <cell r="D1375">
            <v>6250</v>
          </cell>
        </row>
        <row r="1376">
          <cell r="A1376" t="str">
            <v>001.20.00280</v>
          </cell>
          <cell r="B1376" t="str">
            <v>Fornecimento e Instalação de Ar Condicionado Tipo Split 48 000 BTUS, Linha Silence ou Mesmo Padrão</v>
          </cell>
          <cell r="C1376" t="str">
            <v>CJ</v>
          </cell>
          <cell r="D1376">
            <v>8000</v>
          </cell>
        </row>
        <row r="1377">
          <cell r="A1377" t="str">
            <v>001.20.00300</v>
          </cell>
          <cell r="B1377" t="str">
            <v>Fornecimento e Instalação de Ar Condicionado Tipo Split 60 000 BTUS, Linha Silence ou Mesmo Padrão</v>
          </cell>
          <cell r="C1377" t="str">
            <v>CJ</v>
          </cell>
          <cell r="D1377">
            <v>8700</v>
          </cell>
        </row>
        <row r="1378">
          <cell r="A1378" t="str">
            <v>001.20.00320</v>
          </cell>
          <cell r="B1378" t="str">
            <v>Fornecimento e Instalação de Rede Figorígena (Tubo de Cobre 3/8"" e 1/4""; Cabo PP 4x1.50; Isolante Térmico em Espuma Para Tubulação 5/8"" e Fita Aluminizada) Para Aparelho Ar Cond. Split até 10.000 BTU'S</v>
          </cell>
          <cell r="C1378" t="str">
            <v>ml</v>
          </cell>
          <cell r="D1378">
            <v>30.718499999999999</v>
          </cell>
        </row>
        <row r="1379">
          <cell r="A1379" t="str">
            <v>001.20.00340</v>
          </cell>
          <cell r="B1379" t="str">
            <v>Fornecimento e Instalação de Rede Figorígena (Tubo de Cobre 1/2"" e 1/4""; Cabo PP 4x1.50; Isolante Térmico em Espuma Para Tubulação 3/4"" e Fita Aluminizada) Para Aparelho Ar Cond. Split de 12.000 BTU'S</v>
          </cell>
          <cell r="C1379" t="str">
            <v>ml</v>
          </cell>
          <cell r="D1379">
            <v>31.688700000000001</v>
          </cell>
        </row>
        <row r="1380">
          <cell r="A1380" t="str">
            <v>001.20.00360</v>
          </cell>
          <cell r="B1380" t="str">
            <v>Fornecimento e Instalação de Rede Figorígena (Tubo de Cobre 3/8"" e 5/8""; Cabo PP 4x1.50; Isolante Térmico em Espuma Para Tubulação 7/8"" e Fita Aluminizada) Para Aparelho Ar Cond. Split de 24.000 BTU'S</v>
          </cell>
          <cell r="C1380" t="str">
            <v>ml</v>
          </cell>
          <cell r="D1380">
            <v>38.580199999999998</v>
          </cell>
        </row>
        <row r="1381">
          <cell r="A1381" t="str">
            <v>001.20.00380</v>
          </cell>
          <cell r="B1381" t="str">
            <v>Fornecimento e Instalação de Rede Figorígena (Tubo de Cobre 1/2"" e 7/8""; Cabo PP 4x1.50; Isolante Térmico em Espuma Para Tubulação 1"" e Fita Aluminizada) Para Aparelho Ar Cond. Split de 48.000 BTU'S</v>
          </cell>
          <cell r="C1381" t="str">
            <v>ml</v>
          </cell>
          <cell r="D1381">
            <v>42.743099999999998</v>
          </cell>
        </row>
        <row r="1382">
          <cell r="A1382" t="str">
            <v>001.20.00400</v>
          </cell>
          <cell r="B1382" t="str">
            <v>Fornecimento e Instalação de Rede Figorígena (Tubo de Cobre 1/2"" e 7/8""; Cabo PP 4x1.50; Isolante Térmico em Espuma Para Tubulação 1"" e Fita Aluminizada) Para Aparelho Ar Cond. Split de 60.000 BTU'S</v>
          </cell>
          <cell r="C1382" t="str">
            <v>ml</v>
          </cell>
          <cell r="D1382">
            <v>42.743099999999998</v>
          </cell>
        </row>
        <row r="1383">
          <cell r="A1383" t="str">
            <v>001.21</v>
          </cell>
          <cell r="B1383" t="str">
            <v>INSTALAÇÕES ELÉTRICAS - CAIXAS DE INSPEÇÃO E PASSAGEM</v>
          </cell>
          <cell r="D1383">
            <v>1816.068</v>
          </cell>
        </row>
        <row r="1384">
          <cell r="A1384" t="str">
            <v>001.21.00020</v>
          </cell>
          <cell r="B1384" t="str">
            <v>Execução de caixa de passagem de concreto de 5 cm espessura e tampa de concreto impermeabilizada de 30.00 x 30.00 x 30.00 cm</v>
          </cell>
          <cell r="C1384" t="str">
            <v>CJ</v>
          </cell>
          <cell r="D1384">
            <v>29.3675</v>
          </cell>
        </row>
        <row r="1385">
          <cell r="A1385" t="str">
            <v>001.21.00040</v>
          </cell>
          <cell r="B1385" t="str">
            <v>Execução de caixa de passagem de concreto de 5 cm espessura e tampa de concreto impermeabilizada de 30.00 x 30.00 x 40.00 cm</v>
          </cell>
          <cell r="C1385" t="str">
            <v>CJ</v>
          </cell>
          <cell r="D1385">
            <v>33.421199999999999</v>
          </cell>
        </row>
        <row r="1386">
          <cell r="A1386" t="str">
            <v>001.21.00060</v>
          </cell>
          <cell r="B1386" t="str">
            <v>Execução de caixa de passagem de concreto de 5 cm espessura e tampa de concreto impermeabilizada de 40.00 x 40.00 x 40.00 cm</v>
          </cell>
          <cell r="C1386" t="str">
            <v>CJ</v>
          </cell>
          <cell r="D1386">
            <v>49.469099999999997</v>
          </cell>
        </row>
        <row r="1387">
          <cell r="A1387" t="str">
            <v>001.21.00080</v>
          </cell>
          <cell r="B1387" t="str">
            <v>Execução de caixa de passagem de concreto de 5 cm espessura e tampa de concreto impermeabilizada de 40.00 x 40.00 x 50.00 cm</v>
          </cell>
          <cell r="C1387" t="str">
            <v>CJ</v>
          </cell>
          <cell r="D1387">
            <v>56.373899999999999</v>
          </cell>
        </row>
        <row r="1388">
          <cell r="A1388" t="str">
            <v>001.21.00100</v>
          </cell>
          <cell r="B1388" t="str">
            <v>Execução de caixa de passagem de concreto de 5 cm espessura e tampa de concreto impermeabilizada de 50.00 x 50.00 x 50.00 cm</v>
          </cell>
          <cell r="C1388" t="str">
            <v>CJ</v>
          </cell>
          <cell r="D1388">
            <v>74.656300000000002</v>
          </cell>
        </row>
        <row r="1389">
          <cell r="A1389" t="str">
            <v>001.21.00120</v>
          </cell>
          <cell r="B1389" t="str">
            <v>Execução de caixa de passagem de concreto de 5 cm espessura e tampa de concreto impermeabilizada de 50.00 x 50.00 x 60.00 cm</v>
          </cell>
          <cell r="C1389" t="str">
            <v>CJ</v>
          </cell>
          <cell r="D1389">
            <v>83.427599999999998</v>
          </cell>
        </row>
        <row r="1390">
          <cell r="A1390" t="str">
            <v>001.21.00140</v>
          </cell>
          <cell r="B1390" t="str">
            <v>Execução de caixa de passagem de concreto de 5 cm espessura e tampa de concreto impermeabilizada de 60.00 x 60.00 x 60.00 cm</v>
          </cell>
          <cell r="C1390" t="str">
            <v>CJ</v>
          </cell>
          <cell r="D1390">
            <v>105.6909</v>
          </cell>
        </row>
        <row r="1391">
          <cell r="A1391" t="str">
            <v>001.21.00160</v>
          </cell>
          <cell r="B1391" t="str">
            <v>Execução de caixa de passagem de concreto de 5 cm espessura e tampa de concreto impermeabilizada de 80.00 x 80.00 x 80.00 cm</v>
          </cell>
          <cell r="C1391" t="str">
            <v>CJ</v>
          </cell>
          <cell r="D1391">
            <v>184.7371</v>
          </cell>
        </row>
        <row r="1392">
          <cell r="A1392" t="str">
            <v>001.21.00180</v>
          </cell>
          <cell r="B1392" t="str">
            <v>Execução de caixa de passagem de concreto de 5 cm espessura e tampa de concreto impermeabilizada de 80.00 x 80.00 x 100.00 cm</v>
          </cell>
          <cell r="C1392" t="str">
            <v>CJ</v>
          </cell>
          <cell r="D1392">
            <v>214.36359999999999</v>
          </cell>
        </row>
        <row r="1393">
          <cell r="A1393" t="str">
            <v>001.21.00200</v>
          </cell>
          <cell r="B1393" t="str">
            <v>Execução de caixa de passagem de alvenaria de 1/2 vez c/ tampa de concreto impermeabilizada 30.00 x 30.00 x 30.00 cm</v>
          </cell>
          <cell r="C1393" t="str">
            <v>CJ</v>
          </cell>
          <cell r="D1393">
            <v>42.596299999999999</v>
          </cell>
        </row>
        <row r="1394">
          <cell r="A1394" t="str">
            <v>001.21.00220</v>
          </cell>
          <cell r="B1394" t="str">
            <v>Execução de caixa de passagem de alvenaria de 1/2 vez c/ tampa de concreto impermeabilizada 30.00 x 30.00 x 40.00 cm</v>
          </cell>
          <cell r="C1394" t="str">
            <v>CJ</v>
          </cell>
          <cell r="D1394">
            <v>49.892099999999999</v>
          </cell>
        </row>
        <row r="1395">
          <cell r="A1395" t="str">
            <v>001.21.00240</v>
          </cell>
          <cell r="B1395" t="str">
            <v>Execução de caixa de passagem de alvenaria de 1/2 vez c/ tampa de concreto impermeabilizada 40.00 x 40.00 x 40.00 cm</v>
          </cell>
          <cell r="C1395" t="str">
            <v>CJ</v>
          </cell>
          <cell r="D1395">
            <v>62.007599999999996</v>
          </cell>
        </row>
        <row r="1396">
          <cell r="A1396" t="str">
            <v>001.21.00260</v>
          </cell>
          <cell r="B1396" t="str">
            <v>Execução de caixa de passagem de alvenaria de 1/2 vez c/ tampa de concreto impermeabilizada 40.00 x 40.00 x 50.00 cm</v>
          </cell>
          <cell r="C1396" t="str">
            <v>CJ</v>
          </cell>
          <cell r="D1396">
            <v>73.315600000000003</v>
          </cell>
        </row>
        <row r="1397">
          <cell r="A1397" t="str">
            <v>001.21.00280</v>
          </cell>
          <cell r="B1397" t="str">
            <v>Execução de caixa de passagem de alvenaria de 1/2 vez c/ tampa de concreto impermeabiliada 50.00 x 50.00 x 50.00 cm</v>
          </cell>
          <cell r="C1397" t="str">
            <v>CJ</v>
          </cell>
          <cell r="D1397">
            <v>90.509</v>
          </cell>
        </row>
        <row r="1398">
          <cell r="A1398" t="str">
            <v>001.21.00300</v>
          </cell>
          <cell r="B1398" t="str">
            <v>Exeucução de caixa de passagem de alvenaria de 1/2 vez c/ tampa de concreto impermeabilizada 50.00 x 50.00 x 60.0 cm</v>
          </cell>
          <cell r="C1398" t="str">
            <v>CJ</v>
          </cell>
          <cell r="D1398">
            <v>100.90900000000001</v>
          </cell>
        </row>
        <row r="1399">
          <cell r="A1399" t="str">
            <v>001.21.00320</v>
          </cell>
          <cell r="B1399" t="str">
            <v>Execuçãoo de caixa de passagem de alvenaria de 1/2 vez c/ tampa de concreto impermeabilizada 60.00 x 60.00 x 60.00 cm</v>
          </cell>
          <cell r="C1399" t="str">
            <v>CJ</v>
          </cell>
          <cell r="D1399">
            <v>123.2679</v>
          </cell>
        </row>
        <row r="1400">
          <cell r="A1400" t="str">
            <v>001.21.00340</v>
          </cell>
          <cell r="B1400" t="str">
            <v>Execução de caixa de passagem de alvenaria de 1/2 vez c/ tampa de concreto impermeabilizada 80.00 x 80.00 x 80.00 cm</v>
          </cell>
          <cell r="C1400" t="str">
            <v>CJ</v>
          </cell>
          <cell r="D1400">
            <v>202.98230000000001</v>
          </cell>
        </row>
        <row r="1401">
          <cell r="A1401" t="str">
            <v>001.21.00360</v>
          </cell>
          <cell r="B1401" t="str">
            <v>Execução de caixa de passagem de alvenaria de 1/2 vez c/ tampa de concreto impermeabilizada 80.00 x 80.00 x 100.00 cm</v>
          </cell>
          <cell r="C1401" t="str">
            <v>CJ</v>
          </cell>
          <cell r="D1401">
            <v>239.08099999999999</v>
          </cell>
        </row>
        <row r="1402">
          <cell r="A1402" t="str">
            <v>001.22</v>
          </cell>
          <cell r="B1402" t="str">
            <v>INSTALAÇÕES ELÉTRICAS - ALTA TENSÃO</v>
          </cell>
          <cell r="D1402">
            <v>102058.2659</v>
          </cell>
        </row>
        <row r="1403">
          <cell r="A1403" t="str">
            <v>001.22.00020</v>
          </cell>
          <cell r="B1403" t="str">
            <v>Fornecimento e Instalação de Fusível NH 63 A, 500 V</v>
          </cell>
          <cell r="C1403" t="str">
            <v>UN</v>
          </cell>
          <cell r="D1403">
            <v>14.727399999999999</v>
          </cell>
        </row>
        <row r="1404">
          <cell r="A1404" t="str">
            <v>001.22.00040</v>
          </cell>
          <cell r="B1404" t="str">
            <v>Fornecimento e Instalação de Fusível NH 80 A, 500 V</v>
          </cell>
          <cell r="C1404" t="str">
            <v>UN</v>
          </cell>
          <cell r="D1404">
            <v>5.1574</v>
          </cell>
        </row>
        <row r="1405">
          <cell r="A1405" t="str">
            <v>001.22.00060</v>
          </cell>
          <cell r="B1405" t="str">
            <v>Fornecimento e Instalação de Fusível NH 100 A, 500 V</v>
          </cell>
          <cell r="C1405" t="str">
            <v>UN</v>
          </cell>
          <cell r="D1405">
            <v>14.727399999999999</v>
          </cell>
        </row>
        <row r="1406">
          <cell r="A1406" t="str">
            <v>001.22.00080</v>
          </cell>
          <cell r="B1406" t="str">
            <v>Fornecimento e Instalação de Fusível NH 160 A, 500 V</v>
          </cell>
          <cell r="C1406" t="str">
            <v>UN</v>
          </cell>
          <cell r="D1406">
            <v>14.727399999999999</v>
          </cell>
        </row>
        <row r="1407">
          <cell r="A1407" t="str">
            <v>001.22.00100</v>
          </cell>
          <cell r="B1407" t="str">
            <v>Fornecimento e Instalação de Fusível NH 200 A, 500 V</v>
          </cell>
          <cell r="C1407" t="str">
            <v>UN</v>
          </cell>
          <cell r="D1407">
            <v>31.236000000000001</v>
          </cell>
        </row>
        <row r="1408">
          <cell r="A1408" t="str">
            <v>001.22.00120</v>
          </cell>
          <cell r="B1408" t="str">
            <v>Fornecimento e Instalação de Fusível NH 315 A, 500 V</v>
          </cell>
          <cell r="C1408" t="str">
            <v>UN</v>
          </cell>
          <cell r="D1408">
            <v>45.926000000000002</v>
          </cell>
        </row>
        <row r="1409">
          <cell r="A1409" t="str">
            <v>001.22.00140</v>
          </cell>
          <cell r="B1409" t="str">
            <v>Fornecimento e Instalação de Fusível NH 400 A, 500 V</v>
          </cell>
          <cell r="C1409" t="str">
            <v>UN</v>
          </cell>
          <cell r="D1409">
            <v>20.795999999999999</v>
          </cell>
        </row>
        <row r="1410">
          <cell r="A1410" t="str">
            <v>001.22.00160</v>
          </cell>
          <cell r="B1410" t="str">
            <v>Fornecimento e Instalação de Fusível NH 630 A, 500 V</v>
          </cell>
          <cell r="C1410" t="str">
            <v>UN</v>
          </cell>
          <cell r="D1410">
            <v>29.936</v>
          </cell>
        </row>
        <row r="1411">
          <cell r="A1411" t="str">
            <v>001.22.00180</v>
          </cell>
          <cell r="B1411" t="str">
            <v>Fornecimento e instalação de chave blindada triplar 3x125amp/500v</v>
          </cell>
          <cell r="C1411" t="str">
            <v>CJ</v>
          </cell>
          <cell r="D1411">
            <v>322.31909999999999</v>
          </cell>
        </row>
        <row r="1412">
          <cell r="A1412" t="str">
            <v>001.22.00190</v>
          </cell>
          <cell r="B1412" t="str">
            <v>Execução de mureta em alvenaria de 1.5 vez  de tijolo assente com argamassa mista 1:2:8 cimento cal hidratada e areia inclusive fundação em concreto ciclópico no traço 1:3;6 revestimento rústico e caiação - para instalação de medidor de luz e força</v>
          </cell>
          <cell r="C1412" t="str">
            <v>m2</v>
          </cell>
          <cell r="D1412">
            <v>142.69110000000001</v>
          </cell>
        </row>
        <row r="1413">
          <cell r="A1413" t="str">
            <v>001.22.00200</v>
          </cell>
          <cell r="B1413" t="str">
            <v>Fornecimento e instalação de placa de advertência com os dizeres ""perigo de morte alta tensão""</v>
          </cell>
          <cell r="C1413" t="str">
            <v>PC</v>
          </cell>
          <cell r="D1413">
            <v>36.087000000000003</v>
          </cell>
        </row>
        <row r="1414">
          <cell r="A1414" t="str">
            <v>001.22.00220</v>
          </cell>
          <cell r="B1414" t="str">
            <v>Fornecimento e instalação de arame de aço galvanizado nº 14bwg (27 2g/m)</v>
          </cell>
          <cell r="C1414" t="str">
            <v>KG</v>
          </cell>
          <cell r="D1414">
            <v>8.3422000000000001</v>
          </cell>
        </row>
        <row r="1415">
          <cell r="A1415" t="str">
            <v>001.22.00240</v>
          </cell>
          <cell r="B1415" t="str">
            <v>Fornecimento e instalação de cabo de aço 6.4mm 1/4""</v>
          </cell>
          <cell r="C1415" t="str">
            <v>ML</v>
          </cell>
          <cell r="D1415">
            <v>2.5790000000000002</v>
          </cell>
        </row>
        <row r="1416">
          <cell r="A1416" t="str">
            <v>001.22.00260</v>
          </cell>
          <cell r="B1416" t="str">
            <v>Esticador galvanizado de diâm. 1/2""</v>
          </cell>
          <cell r="C1416" t="str">
            <v>UN</v>
          </cell>
          <cell r="D1416">
            <v>13.026</v>
          </cell>
        </row>
        <row r="1417">
          <cell r="A1417" t="str">
            <v>001.22.00280</v>
          </cell>
          <cell r="B1417" t="str">
            <v>Fornecimento e instalação de sapatilha para cabo de aço ate 3/8</v>
          </cell>
          <cell r="C1417" t="str">
            <v>UN</v>
          </cell>
          <cell r="D1417">
            <v>1.5673999999999999</v>
          </cell>
        </row>
        <row r="1418">
          <cell r="A1418" t="str">
            <v>001.22.00300</v>
          </cell>
          <cell r="B1418" t="str">
            <v>Fornecimento e instalação de fita de alumínio para proteção de 1 x 10 mm</v>
          </cell>
          <cell r="C1418" t="str">
            <v>KG</v>
          </cell>
          <cell r="D1418">
            <v>34.2209</v>
          </cell>
        </row>
        <row r="1419">
          <cell r="A1419" t="str">
            <v>001.22.00320</v>
          </cell>
          <cell r="B1419" t="str">
            <v>Fornecimento e instalação de arruela redonda para parafuso diam. 16.00 mm (5/8"""")</v>
          </cell>
          <cell r="C1419" t="str">
            <v>UN</v>
          </cell>
          <cell r="D1419">
            <v>0.78869999999999996</v>
          </cell>
        </row>
        <row r="1420">
          <cell r="A1420" t="str">
            <v>001.22.00340</v>
          </cell>
          <cell r="B1420" t="str">
            <v>Fornecimento e instalação de porca quadrada para parafuso diâmetro 16.00mm</v>
          </cell>
          <cell r="C1420" t="str">
            <v>UN</v>
          </cell>
          <cell r="D1420">
            <v>1.2174</v>
          </cell>
        </row>
        <row r="1421">
          <cell r="A1421" t="str">
            <v>001.22.00360</v>
          </cell>
          <cell r="B1421" t="str">
            <v>Fornecimento e instalação de Cabo de Alumínio Nú 2 CAA AWG SPARROW</v>
          </cell>
          <cell r="C1421" t="str">
            <v>KG</v>
          </cell>
          <cell r="D1421">
            <v>16.043700000000001</v>
          </cell>
        </row>
        <row r="1422">
          <cell r="A1422" t="str">
            <v>001.22.00380</v>
          </cell>
          <cell r="B1422" t="str">
            <v>Fornecimento e Instalação de Cabo de Alumínio Multiplexado 3 x 1 x 35 mm2 + 35 mm2 - Fase CA, Isolamento com XLPE e Neutro Nú CAL</v>
          </cell>
          <cell r="C1422" t="str">
            <v>ML</v>
          </cell>
          <cell r="D1422">
            <v>12.3843</v>
          </cell>
        </row>
        <row r="1423">
          <cell r="A1423" t="str">
            <v>001.22.00400</v>
          </cell>
          <cell r="B1423" t="str">
            <v>Fornecimento e Instalação de Cabo de Alumínio Multiplexado 3 x 1 x 70 mm2 + 70 mm2 - Fase CA, Isolamento com XLPE e Neutro Nú CAL</v>
          </cell>
          <cell r="C1423" t="str">
            <v>ML</v>
          </cell>
          <cell r="D1423">
            <v>21.6357</v>
          </cell>
        </row>
        <row r="1424">
          <cell r="A1424" t="str">
            <v>001.22.00420</v>
          </cell>
          <cell r="B1424" t="str">
            <v>Fornecimento e Instalação de Cabo de Alumínio Multiplexado 3 x 1 x 120 mm2 + 70 mm2 - Fase CA, Isolamento com XLPE e Neutro Nú CAL</v>
          </cell>
          <cell r="C1424" t="str">
            <v>ML</v>
          </cell>
          <cell r="D1424">
            <v>32.845500000000001</v>
          </cell>
        </row>
        <row r="1425">
          <cell r="A1425" t="str">
            <v>001.22.00440</v>
          </cell>
          <cell r="B1425" t="str">
            <v>Fornecimento e instalação de Cruzeta de Concreto 90 x 90 x 2000 mm - 250 daN - Retangular</v>
          </cell>
          <cell r="C1425" t="str">
            <v>UN</v>
          </cell>
          <cell r="D1425">
            <v>63.160200000000003</v>
          </cell>
        </row>
        <row r="1426">
          <cell r="A1426" t="str">
            <v>001.22.00460</v>
          </cell>
          <cell r="B1426" t="str">
            <v>Fornecimento e Instalação de Mão Francesa Plana 3/16"""" x 32 x 619 mm</v>
          </cell>
          <cell r="C1426" t="str">
            <v>UN</v>
          </cell>
          <cell r="D1426">
            <v>7.4939</v>
          </cell>
        </row>
        <row r="1427">
          <cell r="A1427" t="str">
            <v>001.22.00480</v>
          </cell>
          <cell r="B1427" t="str">
            <v>Fornecimento e Instalação de Olhal Para Parafuso de Diam.16mm</v>
          </cell>
          <cell r="C1427" t="str">
            <v>UN</v>
          </cell>
          <cell r="D1427">
            <v>8.6938999999999993</v>
          </cell>
        </row>
        <row r="1428">
          <cell r="A1428" t="str">
            <v>001.22.00500</v>
          </cell>
          <cell r="B1428" t="str">
            <v>Fornecimento e Instalação de Isolador de Disco de 154.00 mm (6"""")</v>
          </cell>
          <cell r="C1428" t="str">
            <v>UN</v>
          </cell>
          <cell r="D1428">
            <v>25.343900000000001</v>
          </cell>
        </row>
        <row r="1429">
          <cell r="A1429" t="str">
            <v>001.22.00520</v>
          </cell>
          <cell r="B1429" t="str">
            <v>Fornecimento e instalação de Isolador de Pilar 15.00 Kv - 110 Kv</v>
          </cell>
          <cell r="C1429" t="str">
            <v>UN</v>
          </cell>
          <cell r="D1429">
            <v>59.335299999999997</v>
          </cell>
        </row>
        <row r="1430">
          <cell r="A1430" t="str">
            <v>001.22.00540</v>
          </cell>
          <cell r="B1430" t="str">
            <v>Fornecimento e instalação de Isolador de Pilar 34,50 Kv - 170 Kv</v>
          </cell>
          <cell r="C1430" t="str">
            <v>UN</v>
          </cell>
          <cell r="D1430">
            <v>56.075299999999999</v>
          </cell>
        </row>
        <row r="1431">
          <cell r="A1431" t="str">
            <v>001.22.00560</v>
          </cell>
          <cell r="B1431" t="str">
            <v>Fornecimento e Instalação de Pino Auto Travante 16.00 x 168.00 mm 15/34.5 KV</v>
          </cell>
          <cell r="C1431" t="str">
            <v>UN</v>
          </cell>
          <cell r="D1431">
            <v>8.9469999999999992</v>
          </cell>
        </row>
        <row r="1432">
          <cell r="A1432" t="str">
            <v>001.22.00580</v>
          </cell>
          <cell r="B1432" t="str">
            <v>Fornecimento e Instalação de Arruela Quadrada 16.00 de 38.00mm X 3.00 mm com Furo de 18.00 mm</v>
          </cell>
          <cell r="C1432" t="str">
            <v>UN</v>
          </cell>
          <cell r="D1432">
            <v>0.58520000000000005</v>
          </cell>
        </row>
        <row r="1433">
          <cell r="A1433" t="str">
            <v>001.22.00600</v>
          </cell>
          <cell r="B1433" t="str">
            <v>Fornecimento e Instalação de Gancho Olhal</v>
          </cell>
          <cell r="C1433" t="str">
            <v>UN</v>
          </cell>
          <cell r="D1433">
            <v>6.5651000000000002</v>
          </cell>
        </row>
        <row r="1434">
          <cell r="A1434" t="str">
            <v>001.22.00620</v>
          </cell>
          <cell r="B1434" t="str">
            <v>Fornecimento e instalação de chave fusível XS 15 Kv 300 A 10 KA Mod C</v>
          </cell>
          <cell r="C1434" t="str">
            <v>UN</v>
          </cell>
          <cell r="D1434">
            <v>140.35390000000001</v>
          </cell>
        </row>
        <row r="1435">
          <cell r="A1435" t="str">
            <v>001.22.00640</v>
          </cell>
          <cell r="B1435" t="str">
            <v>Fornecimento e Instalação de Chave Fusível XS 36,2 Kv 300 A 5 KA Mod C</v>
          </cell>
          <cell r="C1435" t="str">
            <v>UN</v>
          </cell>
          <cell r="D1435">
            <v>205.47389999999999</v>
          </cell>
        </row>
        <row r="1436">
          <cell r="A1436" t="str">
            <v>001.22.00660</v>
          </cell>
          <cell r="B1436" t="str">
            <v>Fornecimento e Instalação de Chave Seccionadora Unipolar 15 Kv 630 A 95 KV C/ Terminal</v>
          </cell>
          <cell r="C1436" t="str">
            <v>UN</v>
          </cell>
          <cell r="D1436">
            <v>236.5522</v>
          </cell>
        </row>
        <row r="1437">
          <cell r="A1437" t="str">
            <v>001.22.00680</v>
          </cell>
          <cell r="B1437" t="str">
            <v>Fornecimento e Instalação de Chave Seccionadora Unipolar 36,2 Kv 630 A 95 KV C/ Terminal</v>
          </cell>
          <cell r="C1437" t="str">
            <v>UN</v>
          </cell>
          <cell r="D1437">
            <v>405.08699999999999</v>
          </cell>
        </row>
        <row r="1438">
          <cell r="A1438" t="str">
            <v>001.22.00700</v>
          </cell>
          <cell r="B1438" t="str">
            <v>Fornecimento e Instalação de Protetor de Bucha A. T. de Trafo 15 KV</v>
          </cell>
          <cell r="C1438" t="str">
            <v>UN</v>
          </cell>
          <cell r="D1438">
            <v>15.6751</v>
          </cell>
        </row>
        <row r="1439">
          <cell r="A1439" t="str">
            <v>001.22.00720</v>
          </cell>
          <cell r="B1439" t="str">
            <v>Fornecimento e Instalação de Elo Fusível de Alta Tensão 1 H 500 mm</v>
          </cell>
          <cell r="C1439" t="str">
            <v>UN</v>
          </cell>
          <cell r="D1439">
            <v>4.0347999999999997</v>
          </cell>
        </row>
        <row r="1440">
          <cell r="A1440" t="str">
            <v>001.22.00740</v>
          </cell>
          <cell r="B1440" t="str">
            <v>Fornecimento e Instalação de Elo Fusível de Alta Tensão 2 H 500 mm</v>
          </cell>
          <cell r="C1440" t="str">
            <v>UN</v>
          </cell>
          <cell r="D1440">
            <v>4.0347999999999997</v>
          </cell>
        </row>
        <row r="1441">
          <cell r="A1441" t="str">
            <v>001.22.00760</v>
          </cell>
          <cell r="B1441" t="str">
            <v>Fornecimento e Instalação de Elo Fusível de Alta Tensão 3 H 500 mm</v>
          </cell>
          <cell r="C1441" t="str">
            <v>UN</v>
          </cell>
          <cell r="D1441">
            <v>4.0347999999999997</v>
          </cell>
        </row>
        <row r="1442">
          <cell r="A1442" t="str">
            <v>001.22.00780</v>
          </cell>
          <cell r="B1442" t="str">
            <v>Fornecimento e Instalação de Elo Fusível de Alta Tensão 5 H 500 mm</v>
          </cell>
          <cell r="C1442" t="str">
            <v>UN</v>
          </cell>
          <cell r="D1442">
            <v>4.0347999999999997</v>
          </cell>
        </row>
        <row r="1443">
          <cell r="A1443" t="str">
            <v>001.22.00800</v>
          </cell>
          <cell r="B1443" t="str">
            <v>Fornecimento e Instalação de Elo Fusível de Alta Tensão 6 K 500 mm</v>
          </cell>
          <cell r="C1443" t="str">
            <v>UN</v>
          </cell>
          <cell r="D1443">
            <v>4.0347999999999997</v>
          </cell>
        </row>
        <row r="1444">
          <cell r="A1444" t="str">
            <v>001.22.00820</v>
          </cell>
          <cell r="B1444" t="str">
            <v>Fornecimento e Instalação de Elo Fusível de Alta Tensão 15 K 500 mm</v>
          </cell>
          <cell r="C1444" t="str">
            <v>UN</v>
          </cell>
          <cell r="D1444">
            <v>4.5347999999999997</v>
          </cell>
        </row>
        <row r="1445">
          <cell r="A1445" t="str">
            <v>001.22.00840</v>
          </cell>
          <cell r="B1445" t="str">
            <v>Fornecimento e Instalação de Elo Fusível de Alta Tensão 25 K 500 mm</v>
          </cell>
          <cell r="C1445" t="str">
            <v>UN</v>
          </cell>
          <cell r="D1445">
            <v>4.8348000000000004</v>
          </cell>
        </row>
        <row r="1446">
          <cell r="A1446" t="str">
            <v>001.22.00860</v>
          </cell>
          <cell r="B1446" t="str">
            <v>Fornecimento e Instalação de Para Raios 12 KV 10 KA Polimérico ZQP</v>
          </cell>
          <cell r="C1446" t="str">
            <v>UN</v>
          </cell>
          <cell r="D1446">
            <v>151.76390000000001</v>
          </cell>
        </row>
        <row r="1447">
          <cell r="A1447" t="str">
            <v>001.22.00880</v>
          </cell>
          <cell r="B1447" t="str">
            <v>Fornecimento e Instalação de Para Raios 30 KV 10 KA Polimérico ZQP</v>
          </cell>
          <cell r="C1447" t="str">
            <v>UN</v>
          </cell>
          <cell r="D1447">
            <v>351.57389999999998</v>
          </cell>
        </row>
        <row r="1448">
          <cell r="A1448" t="str">
            <v>001.22.00900</v>
          </cell>
          <cell r="B1448" t="str">
            <v>Fornecimento e Instalação de Suporte Padronizado para Transformador Para Poste DT 195 X 100 mm</v>
          </cell>
          <cell r="C1448" t="str">
            <v>UN</v>
          </cell>
          <cell r="D1448">
            <v>70.433899999999994</v>
          </cell>
        </row>
        <row r="1449">
          <cell r="A1449" t="str">
            <v>001.22.00920</v>
          </cell>
          <cell r="B1449" t="str">
            <v>Fornecimento e Instalação de Suporte Para Transformador Em Poste Circular 210 mm</v>
          </cell>
          <cell r="C1449" t="str">
            <v>UN</v>
          </cell>
          <cell r="D1449">
            <v>66.173900000000003</v>
          </cell>
        </row>
        <row r="1450">
          <cell r="A1450" t="str">
            <v>001.22.00940</v>
          </cell>
          <cell r="B1450" t="str">
            <v>Fornecimento e Instalação de Suporte Para Transformador Em Poste Circular 230 mm</v>
          </cell>
          <cell r="C1450" t="str">
            <v>UN</v>
          </cell>
          <cell r="D1450">
            <v>71.173900000000003</v>
          </cell>
        </row>
        <row r="1451">
          <cell r="A1451" t="str">
            <v>001.22.00960</v>
          </cell>
          <cell r="B1451" t="str">
            <v>Fornecimento e instalação de transformador Monofásico - MRT - Tensão Secundária 245/127 V 34.5 KV - 15 KVA</v>
          </cell>
          <cell r="C1451" t="str">
            <v>UN</v>
          </cell>
          <cell r="D1451">
            <v>2085.2170000000001</v>
          </cell>
        </row>
        <row r="1452">
          <cell r="A1452" t="str">
            <v>001.22.00980</v>
          </cell>
          <cell r="B1452" t="str">
            <v>Forneciemnto e instalação de transformador trifásico 13 8 13 2 6 6kv/220v primário em triângulo secundário em estrela 30 kva</v>
          </cell>
          <cell r="C1452" t="str">
            <v>UN</v>
          </cell>
          <cell r="D1452">
            <v>3361.0868</v>
          </cell>
        </row>
        <row r="1453">
          <cell r="A1453" t="str">
            <v>001.22.01000</v>
          </cell>
          <cell r="B1453" t="str">
            <v>Forneciemnto e instalação de transformador trifásico 13 8 13 2 6 6kv/220v primário em triângulo secundário em estrela 45 kva</v>
          </cell>
          <cell r="C1453" t="str">
            <v>UN</v>
          </cell>
          <cell r="D1453">
            <v>4163.7824000000001</v>
          </cell>
        </row>
        <row r="1454">
          <cell r="A1454" t="str">
            <v>001.22.01020</v>
          </cell>
          <cell r="B1454" t="str">
            <v>Forneciemnto e instalação de transformador trifásico 13 8 13 2 6 6kv/220v primário em triângulo secundário em estrela 75 kva</v>
          </cell>
          <cell r="C1454" t="str">
            <v>UN</v>
          </cell>
          <cell r="D1454">
            <v>5813.4780000000001</v>
          </cell>
        </row>
        <row r="1455">
          <cell r="A1455" t="str">
            <v>001.22.01040</v>
          </cell>
          <cell r="B1455" t="str">
            <v>Forneciemnto e instalação de transformador trifásico 13 8 13 2 6 6kv/220v primário em triângulo secundário em estrela 112.5 kva</v>
          </cell>
          <cell r="C1455" t="str">
            <v>UN</v>
          </cell>
          <cell r="D1455">
            <v>7425.5169999999998</v>
          </cell>
        </row>
        <row r="1456">
          <cell r="A1456" t="str">
            <v>001.22.01060</v>
          </cell>
          <cell r="B1456" t="str">
            <v>Fornecimento e instalação de transformador trifásico 13 8 13 2 6 6kv/220v primário em triângulo secundário em estrela 150 kva</v>
          </cell>
          <cell r="C1456" t="str">
            <v>UN</v>
          </cell>
          <cell r="D1456">
            <v>9294.9560000000001</v>
          </cell>
        </row>
        <row r="1457">
          <cell r="A1457" t="str">
            <v>001.22.01080</v>
          </cell>
          <cell r="B1457" t="str">
            <v>Fornecimento e instalação de transformador trifásico 13 8 13 2 6 6kv/220v primário em triângulo secundário em estrela 15 kva</v>
          </cell>
          <cell r="C1457" t="str">
            <v>UN</v>
          </cell>
          <cell r="D1457">
            <v>2261.3912</v>
          </cell>
        </row>
        <row r="1458">
          <cell r="A1458" t="str">
            <v>001.22.01100</v>
          </cell>
          <cell r="B1458" t="str">
            <v>Fornecimento e instalação de transformador trifásico 13 8 13 2 6 6kv/220v primário em triângulo secundário em estrela 225 kva</v>
          </cell>
          <cell r="C1458" t="str">
            <v>UN</v>
          </cell>
          <cell r="D1458">
            <v>11986.138999999999</v>
          </cell>
        </row>
        <row r="1459">
          <cell r="A1459" t="str">
            <v>001.22.01120</v>
          </cell>
          <cell r="B1459" t="str">
            <v>Forneciemnto e instalação de transformador trifásico 13 8 13 2 6 6kv/220v primário em triângulo secundário em estrela 300 kva</v>
          </cell>
          <cell r="C1459" t="str">
            <v>UN</v>
          </cell>
          <cell r="D1459">
            <v>15607.834000000001</v>
          </cell>
        </row>
        <row r="1460">
          <cell r="A1460" t="str">
            <v>001.22.01140</v>
          </cell>
          <cell r="B1460" t="str">
            <v>Fornecimento e trasformação de trasformador de distribuição trifásico, com resfriamento em banho de óleo mineral, para uso interno, potência 500 kva - classe de tensão 15 kv, transprimários de 13.800, 13.200, 12.600 - ligação delta e 220-127v, ligação e</v>
          </cell>
          <cell r="C1460" t="str">
            <v>UN</v>
          </cell>
          <cell r="D1460">
            <v>21980.695</v>
          </cell>
        </row>
        <row r="1461">
          <cell r="A1461" t="str">
            <v>001.22.01160</v>
          </cell>
          <cell r="B1461" t="str">
            <v>Fornecimento e instalação de parafuso cabeça quadrada """"máquina"""", dim.16.00mm x 125.00mm, incl. Porca Quadrada Diam. Interno 16.00 mm</v>
          </cell>
          <cell r="C1461" t="str">
            <v>CJ</v>
          </cell>
          <cell r="D1461">
            <v>3.0575000000000001</v>
          </cell>
        </row>
        <row r="1462">
          <cell r="A1462" t="str">
            <v>001.22.01180</v>
          </cell>
          <cell r="B1462" t="str">
            <v>Fornecimento e instalação de parafuso cabeça quadrada """"máquina"""", dim.16.00mm x 150.00mm, incl. Porca Quadrada Diam. Interno 16.00 mm</v>
          </cell>
          <cell r="C1462" t="str">
            <v>CJ</v>
          </cell>
          <cell r="D1462">
            <v>3.4375</v>
          </cell>
        </row>
        <row r="1463">
          <cell r="A1463" t="str">
            <v>001.22.01200</v>
          </cell>
          <cell r="B1463" t="str">
            <v>Fornecimento e instalação de parafuso cabeça quadrada """"máquina"""", dim.16.00mm x 200.00mm, incl. Porca Quadrada Diam. Interno 16.00 mm</v>
          </cell>
          <cell r="C1463" t="str">
            <v>CJ</v>
          </cell>
          <cell r="D1463">
            <v>3.6074999999999999</v>
          </cell>
        </row>
        <row r="1464">
          <cell r="A1464" t="str">
            <v>001.22.01220</v>
          </cell>
          <cell r="B1464" t="str">
            <v>Fornecimento e instalação de parafuso cabeça quadrada """"máquina"""", dim.16.00mm x 250.00mm, incl. Porca Quadrada Diam. Interno 16.00 mm</v>
          </cell>
          <cell r="C1464" t="str">
            <v>CJ</v>
          </cell>
          <cell r="D1464">
            <v>4.0674999999999999</v>
          </cell>
        </row>
        <row r="1465">
          <cell r="A1465" t="str">
            <v>001.22.01240</v>
          </cell>
          <cell r="B1465" t="str">
            <v>Fornecimento e instalação de parafuso cabeça quadrada """"máquina"""", dim.16.00mm x 300.00mm, incl. Porca Quadrada Diam. Interno 16.00 mm</v>
          </cell>
          <cell r="C1465" t="str">
            <v>CJ</v>
          </cell>
          <cell r="D1465">
            <v>4.7074999999999996</v>
          </cell>
        </row>
        <row r="1466">
          <cell r="A1466" t="str">
            <v>001.22.01260</v>
          </cell>
          <cell r="B1466" t="str">
            <v>Fornecimento e instalação de parafuso cabeça quadrada """"máquina"""", dim.16.00mm x 350.00mm, incl. Porca Quadrada Diam. Interno 16.00 mm</v>
          </cell>
          <cell r="C1466" t="str">
            <v>CJ</v>
          </cell>
          <cell r="D1466">
            <v>5.6375000000000002</v>
          </cell>
        </row>
        <row r="1467">
          <cell r="A1467" t="str">
            <v>001.22.01280</v>
          </cell>
          <cell r="B1467" t="str">
            <v>Fornecimento e instalação de parafuso cabeça quadrada """"máquina"""", dim.16.00mm x 400.00mm, incl. Porca Quadrada Diam. Interno 16.00 mm</v>
          </cell>
          <cell r="C1467" t="str">
            <v>CJ</v>
          </cell>
          <cell r="D1467">
            <v>6.1375000000000002</v>
          </cell>
        </row>
        <row r="1468">
          <cell r="A1468" t="str">
            <v>001.22.01300</v>
          </cell>
          <cell r="B1468" t="str">
            <v>Fornecimento e instalação de parafuso cabeça quadrada """"máquina"""", dim.16.00mm x 450.00mm, incl. Porca Quadrada Diam. Interno 16.00 mm</v>
          </cell>
          <cell r="C1468" t="str">
            <v>CJ</v>
          </cell>
          <cell r="D1468">
            <v>6.5374999999999996</v>
          </cell>
        </row>
        <row r="1469">
          <cell r="A1469" t="str">
            <v>001.22.01320</v>
          </cell>
          <cell r="B1469" t="str">
            <v>Fornecimento e instalação de parafuso cabeça quadrada """"máquina"""", dim.16.00mm x 500.00mm, incl. Porca Quadrada Diam. Interno 16.00 mm</v>
          </cell>
          <cell r="C1469" t="str">
            <v>CJ</v>
          </cell>
          <cell r="D1469">
            <v>7.2374999999999998</v>
          </cell>
        </row>
        <row r="1470">
          <cell r="A1470" t="str">
            <v>001.22.01340</v>
          </cell>
          <cell r="B1470" t="str">
            <v>Fornecimento e instalação de cinta circular de aço galvanizado diam. 150.00 mm</v>
          </cell>
          <cell r="C1470" t="str">
            <v>UN</v>
          </cell>
          <cell r="D1470">
            <v>14.8439</v>
          </cell>
        </row>
        <row r="1471">
          <cell r="A1471" t="str">
            <v>001.22.01360</v>
          </cell>
          <cell r="B1471" t="str">
            <v>Fornecimento e instalação de cinta circular de aço galvanizado diam. 160.00 mm</v>
          </cell>
          <cell r="C1471" t="str">
            <v>UN</v>
          </cell>
          <cell r="D1471">
            <v>15.043900000000001</v>
          </cell>
        </row>
        <row r="1472">
          <cell r="A1472" t="str">
            <v>001.22.01380</v>
          </cell>
          <cell r="B1472" t="str">
            <v>Fornecimento e instalação de cinta circular de aço galvanizado diam. 170.00 mm</v>
          </cell>
          <cell r="C1472" t="str">
            <v>UN</v>
          </cell>
          <cell r="D1472">
            <v>15.2439</v>
          </cell>
        </row>
        <row r="1473">
          <cell r="A1473" t="str">
            <v>001.22.01400</v>
          </cell>
          <cell r="B1473" t="str">
            <v>Fornecimento e instalação de cinta circular de aço galvanizado diam. 180.00 mm</v>
          </cell>
          <cell r="C1473" t="str">
            <v>UN</v>
          </cell>
          <cell r="D1473">
            <v>15.6439</v>
          </cell>
        </row>
        <row r="1474">
          <cell r="A1474" t="str">
            <v>001.22.01420</v>
          </cell>
          <cell r="B1474" t="str">
            <v>Fornecimento e instalação de cinta circular de aço galvanizado diam. 190.00 mm</v>
          </cell>
          <cell r="C1474" t="str">
            <v>UN</v>
          </cell>
          <cell r="D1474">
            <v>17.260899999999999</v>
          </cell>
        </row>
        <row r="1475">
          <cell r="A1475" t="str">
            <v>001.22.01440</v>
          </cell>
          <cell r="B1475" t="str">
            <v>Fornecimento e instalação de cinta circular de aço galvanizado diam. 200.00 mm</v>
          </cell>
          <cell r="C1475" t="str">
            <v>UN</v>
          </cell>
          <cell r="D1475">
            <v>16.643899999999999</v>
          </cell>
        </row>
        <row r="1476">
          <cell r="A1476" t="str">
            <v>001.22.01460</v>
          </cell>
          <cell r="B1476" t="str">
            <v>Fornecimento e instalação de cinta circular de aço galvanizado diam. 210.00 mm</v>
          </cell>
          <cell r="C1476" t="str">
            <v>UN</v>
          </cell>
          <cell r="D1476">
            <v>16.943899999999999</v>
          </cell>
        </row>
        <row r="1477">
          <cell r="A1477" t="str">
            <v>001.22.01480</v>
          </cell>
          <cell r="B1477" t="str">
            <v>Fornecimento e instalação de cinta circular de aço galvanizado diam. 220.00 mm</v>
          </cell>
          <cell r="C1477" t="str">
            <v>UN</v>
          </cell>
          <cell r="D1477">
            <v>19.778199999999998</v>
          </cell>
        </row>
        <row r="1478">
          <cell r="A1478" t="str">
            <v>001.22.01500</v>
          </cell>
          <cell r="B1478" t="str">
            <v>Fornecimento e instalação de cinta circular de aço galvanizado diam. 230.00 mm</v>
          </cell>
          <cell r="C1478" t="str">
            <v>UN</v>
          </cell>
          <cell r="D1478">
            <v>18.2439</v>
          </cell>
        </row>
        <row r="1479">
          <cell r="A1479" t="str">
            <v>001.22.01520</v>
          </cell>
          <cell r="B1479" t="str">
            <v>Fornecimento e instalação de cinta circular de aço galvanizado diam. 240.00 mm</v>
          </cell>
          <cell r="C1479" t="str">
            <v>UN</v>
          </cell>
          <cell r="D1479">
            <v>18.543900000000001</v>
          </cell>
        </row>
        <row r="1480">
          <cell r="A1480" t="str">
            <v>001.22.01540</v>
          </cell>
          <cell r="B1480" t="str">
            <v>Fornecimento e instalação de cinta circular de aço galvanizado diam. 250.00 mm</v>
          </cell>
          <cell r="C1480" t="str">
            <v>UN</v>
          </cell>
          <cell r="D1480">
            <v>19.2439</v>
          </cell>
        </row>
        <row r="1481">
          <cell r="A1481" t="str">
            <v>001.22.01560</v>
          </cell>
          <cell r="B1481" t="str">
            <v>Fornecimento e instalação de parafuso rosca dupla """"passante"""" dim.16.00mm x 350.00mm, incl. Porca Quadrada Diam. Interno 16.00 mm</v>
          </cell>
          <cell r="C1481" t="str">
            <v>CJ</v>
          </cell>
          <cell r="D1481">
            <v>8.3750999999999998</v>
          </cell>
        </row>
        <row r="1482">
          <cell r="A1482" t="str">
            <v>001.22.01580</v>
          </cell>
          <cell r="B1482" t="str">
            <v>Fornecimento e instalação de parafuso rosca dupla """"passante"""" dim.16.00mm x 400.00mm, incl. Porca Quadrada Diam. Interno 16.00 mm</v>
          </cell>
          <cell r="C1482" t="str">
            <v>CJ</v>
          </cell>
          <cell r="D1482">
            <v>8.3150999999999993</v>
          </cell>
        </row>
        <row r="1483">
          <cell r="A1483" t="str">
            <v>001.22.01600</v>
          </cell>
          <cell r="B1483" t="str">
            <v>Fornecimento e instalação de parafuso rosca dupla """"passante"""" dim.16.00mm x 450.00mm, incl. Porca Quadrada Diam. Interno 16.00 mm</v>
          </cell>
          <cell r="C1483" t="str">
            <v>CJ</v>
          </cell>
          <cell r="D1483">
            <v>9.4750999999999994</v>
          </cell>
        </row>
        <row r="1484">
          <cell r="A1484" t="str">
            <v>001.22.01620</v>
          </cell>
          <cell r="B1484" t="str">
            <v>Fornecimento e instalação de parafuso rosca dupla """"passante"""" dim.16.00mm x 500.00mm, incl. Porca Quadrada Diam. Interno 16.00 mm</v>
          </cell>
          <cell r="C1484" t="str">
            <v>CJ</v>
          </cell>
          <cell r="D1484">
            <v>10.075100000000001</v>
          </cell>
        </row>
        <row r="1485">
          <cell r="A1485" t="str">
            <v>001.22.01640</v>
          </cell>
          <cell r="B1485" t="str">
            <v>Fornecimento e instalação de parafuso rosca dupla """"passante"""" dim.16.00mm x 550.00mm, incl. Porca Quadrada Diam. Interno 16.00 mm</v>
          </cell>
          <cell r="C1485" t="str">
            <v>CJ</v>
          </cell>
          <cell r="D1485">
            <v>10.3751</v>
          </cell>
        </row>
        <row r="1486">
          <cell r="A1486" t="str">
            <v>001.22.01660</v>
          </cell>
          <cell r="B1486" t="str">
            <v>Fornecimento e instalação de sela p/ cruzeta de concreto</v>
          </cell>
          <cell r="C1486" t="str">
            <v>UN</v>
          </cell>
          <cell r="D1486">
            <v>7.6238999999999999</v>
          </cell>
        </row>
        <row r="1487">
          <cell r="A1487" t="str">
            <v>001.22.01680</v>
          </cell>
          <cell r="B1487" t="str">
            <v>Fornecimento e instalação de parafuso francês (cabeça abaulada) 16.00 mm x 45.00 mm, incl. Porca Quadrada Diam. Interno 16.00 mm</v>
          </cell>
          <cell r="C1487" t="str">
            <v>CJ</v>
          </cell>
          <cell r="D1487">
            <v>2.5375000000000001</v>
          </cell>
        </row>
        <row r="1488">
          <cell r="A1488" t="str">
            <v>001.22.01700</v>
          </cell>
          <cell r="B1488" t="str">
            <v>Fornecimento e instalação de parafuso francês (cabeça abaulada) 16.00 mm x150.00 mm incl. Porca Quadrada Diam. Interno 16.00 mm</v>
          </cell>
          <cell r="C1488" t="str">
            <v>CJ</v>
          </cell>
          <cell r="D1488">
            <v>3.5375000000000001</v>
          </cell>
        </row>
        <row r="1489">
          <cell r="A1489" t="str">
            <v>001.22.01720</v>
          </cell>
          <cell r="B1489" t="str">
            <v>Fornecimento e Instalação de Laço de Topo Pref. Para Cabo 2 CAA - 15.00 KV</v>
          </cell>
          <cell r="C1489" t="str">
            <v>UN</v>
          </cell>
          <cell r="D1489">
            <v>4.2934999999999999</v>
          </cell>
        </row>
        <row r="1490">
          <cell r="A1490" t="str">
            <v>001.22.01740</v>
          </cell>
          <cell r="B1490" t="str">
            <v>Fornecimento e Instalação de Laço de Topo Pref. Para Cabo 2 CAA - 34.5 KV</v>
          </cell>
          <cell r="C1490" t="str">
            <v>UN</v>
          </cell>
          <cell r="D1490">
            <v>5.1435000000000004</v>
          </cell>
        </row>
        <row r="1491">
          <cell r="A1491" t="str">
            <v>001.22.01760</v>
          </cell>
          <cell r="B1491" t="str">
            <v>Fornecimento e Instalação de Manilha Sapatilha</v>
          </cell>
          <cell r="C1491" t="str">
            <v>UN</v>
          </cell>
          <cell r="D1491">
            <v>8.0974000000000004</v>
          </cell>
        </row>
        <row r="1492">
          <cell r="A1492" t="str">
            <v>001.22.01780</v>
          </cell>
          <cell r="B1492" t="str">
            <v>Fornecimento e Instalação de Alça Pré-Formada Cabo 2 AWG</v>
          </cell>
          <cell r="C1492" t="str">
            <v>UN</v>
          </cell>
          <cell r="D1492">
            <v>2.8675000000000002</v>
          </cell>
        </row>
        <row r="1493">
          <cell r="A1493" t="str">
            <v>001.22.01800</v>
          </cell>
          <cell r="B1493" t="str">
            <v>Fornecimento e instalação de Conector Derivação Cunha  Tipo Estribo Normal - 2 - 4</v>
          </cell>
          <cell r="C1493" t="str">
            <v>UN</v>
          </cell>
          <cell r="D1493">
            <v>12.614800000000001</v>
          </cell>
        </row>
        <row r="1494">
          <cell r="A1494" t="str">
            <v>001.22.01820</v>
          </cell>
          <cell r="B1494" t="str">
            <v>Fornecimento e Instalação de Conector Derivação Tipo Cunha - AMP - Tipo II ou Similar</v>
          </cell>
          <cell r="C1494" t="str">
            <v>UN</v>
          </cell>
          <cell r="D1494">
            <v>4.7948000000000004</v>
          </cell>
        </row>
        <row r="1495">
          <cell r="A1495" t="str">
            <v>001.22.01840</v>
          </cell>
          <cell r="B1495" t="str">
            <v>Fornecimento e Instalação de Conector Derivação Cunha 602380-2  336, 4 - 2</v>
          </cell>
          <cell r="C1495" t="str">
            <v>UN</v>
          </cell>
          <cell r="D1495">
            <v>17.134799999999998</v>
          </cell>
        </row>
        <row r="1496">
          <cell r="A1496" t="str">
            <v>001.22.01860</v>
          </cell>
          <cell r="B1496" t="str">
            <v>Fornecimento e Instalação de Conector Derivação p/Linha Viva 6 - 250</v>
          </cell>
          <cell r="C1496" t="str">
            <v>UN</v>
          </cell>
          <cell r="D1496">
            <v>12.2248</v>
          </cell>
        </row>
        <row r="1497">
          <cell r="A1497" t="str">
            <v>001.22.01880</v>
          </cell>
          <cell r="B1497" t="str">
            <v>Fornecimento e Instalação de Conector Transversal Tipo Cunha Para Aterramento 5/8"""" x ( 25 a 35 mm)</v>
          </cell>
          <cell r="C1497" t="str">
            <v>UN</v>
          </cell>
          <cell r="D1497">
            <v>16.5748</v>
          </cell>
        </row>
        <row r="1498">
          <cell r="A1498" t="str">
            <v>001.22.01900</v>
          </cell>
          <cell r="B1498" t="str">
            <v>Fornecimento e Instalação de Cabo de Cobre Isolado XLPE 15 KV 16 mm2</v>
          </cell>
          <cell r="C1498" t="str">
            <v>ML</v>
          </cell>
          <cell r="D1498">
            <v>9.1957000000000004</v>
          </cell>
        </row>
        <row r="1499">
          <cell r="A1499" t="str">
            <v>001.22.01920</v>
          </cell>
          <cell r="B1499" t="str">
            <v>Fornecimento e Instalação de Cartucho P/ Conector AMP Vermelho 444504-2</v>
          </cell>
          <cell r="C1499" t="str">
            <v>UN</v>
          </cell>
          <cell r="D1499">
            <v>5.0951000000000004</v>
          </cell>
        </row>
        <row r="1500">
          <cell r="A1500" t="str">
            <v>001.22.01940</v>
          </cell>
          <cell r="B1500" t="str">
            <v>Fornecimento e Instalação de Conector Terminal Tipo Espada P/ Chave Faca - Terminal - 336,4 MCM 34 KV</v>
          </cell>
          <cell r="C1500" t="str">
            <v>UN</v>
          </cell>
          <cell r="D1500">
            <v>32.534799999999997</v>
          </cell>
        </row>
        <row r="1501">
          <cell r="A1501" t="str">
            <v>001.22.01960</v>
          </cell>
          <cell r="B1501" t="str">
            <v>Fornecimento e Instalação de Poste Duplo T 7mts (150 kg), com Engastamento Simples, incl Escavação e Reaterro Apiloado, conf. Normatização Rede Cemat</v>
          </cell>
          <cell r="C1501" t="str">
            <v>UN</v>
          </cell>
          <cell r="D1501">
            <v>242.98140000000001</v>
          </cell>
        </row>
        <row r="1502">
          <cell r="A1502" t="str">
            <v>001.22.01980</v>
          </cell>
          <cell r="B1502" t="str">
            <v>Fornecimento e Instalação de Poste Duplo T 9mts (150 kg), com Engastamento Simples, incl Escavação e Reaterro Apiloado, conf. Normatização Rede Cemat</v>
          </cell>
          <cell r="C1502" t="str">
            <v>UN</v>
          </cell>
          <cell r="D1502">
            <v>244.20249999999999</v>
          </cell>
        </row>
        <row r="1503">
          <cell r="A1503" t="str">
            <v>001.22.02000</v>
          </cell>
          <cell r="B1503" t="str">
            <v>Fornecimento e Instalação de Poste Duplo T 10 mts (150 kg), com Engastamento Simples, incl Escavação e Reaterro Apiloado, conf. Normatização Rede Cemat</v>
          </cell>
          <cell r="C1503" t="str">
            <v>UN</v>
          </cell>
          <cell r="D1503">
            <v>255.8312</v>
          </cell>
        </row>
        <row r="1504">
          <cell r="A1504" t="str">
            <v>001.22.02020</v>
          </cell>
          <cell r="B1504" t="str">
            <v>Fornecimento e Instalação de Poste Duplo T 11 mts (200 kg), com Engastamento Simples, incl Escavação e Reaterro Apiloado, conf. Normatização Rede Cemat</v>
          </cell>
          <cell r="C1504" t="str">
            <v>UN</v>
          </cell>
          <cell r="D1504">
            <v>498.50170000000003</v>
          </cell>
        </row>
        <row r="1505">
          <cell r="A1505" t="str">
            <v>001.22.02040</v>
          </cell>
          <cell r="B1505" t="str">
            <v>Fornecimento e Instalação de Poste Duplo T 12 mts (300 kg), com Engastamento Simples, incl Escavação e Reaterro Apiloado, conf. Normatização Rede Cemat</v>
          </cell>
          <cell r="C1505" t="str">
            <v>UN</v>
          </cell>
          <cell r="D1505">
            <v>495.28809999999999</v>
          </cell>
        </row>
        <row r="1506">
          <cell r="A1506" t="str">
            <v>001.22.02060</v>
          </cell>
          <cell r="B1506" t="str">
            <v>Fornecimento e Instalação de Poste Duplo T 10mts (300 kg), com Engastamento Reforçado, incl Escavação e Reaterro Apiloado, conf. Normatização Rede Cemat</v>
          </cell>
          <cell r="C1506" t="str">
            <v>UN</v>
          </cell>
          <cell r="D1506">
            <v>422.85449999999997</v>
          </cell>
        </row>
        <row r="1507">
          <cell r="A1507" t="str">
            <v>001.22.02080</v>
          </cell>
          <cell r="B1507" t="str">
            <v>Fornecimento e Instalação de Poste Duplo T 11mts (300 kg), com Engastamento Reforçado, incl Escavação e Reaterro Apiloado, conf. Normatização Rede Cemat</v>
          </cell>
          <cell r="C1507" t="str">
            <v>UN</v>
          </cell>
          <cell r="D1507">
            <v>553.79449999999997</v>
          </cell>
        </row>
        <row r="1508">
          <cell r="A1508" t="str">
            <v>001.22.02100</v>
          </cell>
          <cell r="B1508" t="str">
            <v>Fornecimento e Instalação de Poste Duplo T 10 mts (150 kg), com Engastamento em Solo Cimento, incl Escavação e Reaterro Apiloado, conf. Normatização Rede Cemat</v>
          </cell>
          <cell r="C1508" t="str">
            <v>UN</v>
          </cell>
          <cell r="D1508">
            <v>270.33120000000002</v>
          </cell>
        </row>
        <row r="1509">
          <cell r="A1509" t="str">
            <v>001.22.02120</v>
          </cell>
          <cell r="B1509" t="str">
            <v>Fornecimento e Instalação de Poste Duplo T 10 mts (300 kg), com Engastamento em Solo Cimento, incl Escavação e Reaterro Apiloado, conf. Normatização Rede Cemat</v>
          </cell>
          <cell r="C1509" t="str">
            <v>UN</v>
          </cell>
          <cell r="D1509">
            <v>381.64120000000003</v>
          </cell>
        </row>
        <row r="1510">
          <cell r="A1510" t="str">
            <v>001.22.02140</v>
          </cell>
          <cell r="B1510" t="str">
            <v>Fornecimento e Instalação de Poste Duplo T 11 mts (200 kg), com Engastamento em Solo Cimento, incl Escavação e Reaterro Apiloado, conf. Normatização Rede Cemat</v>
          </cell>
          <cell r="C1510" t="str">
            <v>UN</v>
          </cell>
          <cell r="D1510">
            <v>513.00170000000003</v>
          </cell>
        </row>
        <row r="1511">
          <cell r="A1511" t="str">
            <v>001.22.02160</v>
          </cell>
          <cell r="B1511" t="str">
            <v>Fornecimento e Instalação de Poste Duplo T 11 mts (300 kg), com Engastamento em Solo Cimento, incl Escavação e Reaterro Apiloado, conf. Normatização Rede Cemat</v>
          </cell>
          <cell r="C1511" t="str">
            <v>UN</v>
          </cell>
          <cell r="D1511">
            <v>513.20169999999996</v>
          </cell>
        </row>
        <row r="1512">
          <cell r="A1512" t="str">
            <v>001.22.02180</v>
          </cell>
          <cell r="B1512" t="str">
            <v>Fornecimento e Instalação de Poste Duplo T 10 mts (600 kg), com Engastamento em Concreto Fck= 15 Mpa, incl Escavação e Reaterro Apiloado, conf. Normatização Rede Cemat</v>
          </cell>
          <cell r="C1512" t="str">
            <v>UN</v>
          </cell>
          <cell r="D1512">
            <v>538.46730000000002</v>
          </cell>
        </row>
        <row r="1513">
          <cell r="A1513" t="str">
            <v>001.22.02200</v>
          </cell>
          <cell r="B1513" t="str">
            <v>Fornecimento e Instalação de Poste Duplo T 10 mts (1000 kg), com Engastamento em Concreto Fck= 15 Mpa, incl Escavação e Reaterro Apiloado, conf. Normatização Rede Cemat</v>
          </cell>
          <cell r="C1513" t="str">
            <v>UN</v>
          </cell>
          <cell r="D1513">
            <v>645.46730000000002</v>
          </cell>
        </row>
        <row r="1514">
          <cell r="A1514" t="str">
            <v>001.22.02220</v>
          </cell>
          <cell r="B1514" t="str">
            <v>Fornecimento e Instalação de Poste Duplo T 11 mts (600 kg), com Engastamento em Concreto Fck= 15 Mpa, incl Escavação e Reaterro Apiloado, conf. Normatização Rede Cemat</v>
          </cell>
          <cell r="C1514" t="str">
            <v>UN</v>
          </cell>
          <cell r="D1514">
            <v>918.09780000000001</v>
          </cell>
        </row>
        <row r="1515">
          <cell r="A1515" t="str">
            <v>001.22.02240</v>
          </cell>
          <cell r="B1515" t="str">
            <v>Fornecimento e Instalação de Poste Duplo T 11 mts (1000 kg), com Engastamento em Concreto Fck= 15 Mpa, incl Escavação e Reaterro Apiloado, conf. Normatização Rede Cemat</v>
          </cell>
          <cell r="C1515" t="str">
            <v>UN</v>
          </cell>
          <cell r="D1515">
            <v>918.09780000000001</v>
          </cell>
        </row>
        <row r="1516">
          <cell r="A1516" t="str">
            <v>001.22.02260</v>
          </cell>
          <cell r="B1516" t="str">
            <v>Fornecimento e Instalação de Poste Circular 7 mts (150 kg), com Engastamento Simples, incl Escavação e Reaterro Apiloado, conf. Normatização Rede Cemat</v>
          </cell>
          <cell r="C1516" t="str">
            <v>UN</v>
          </cell>
          <cell r="D1516">
            <v>282.17140000000001</v>
          </cell>
        </row>
        <row r="1517">
          <cell r="A1517" t="str">
            <v>001.22.02280</v>
          </cell>
          <cell r="B1517" t="str">
            <v>Fornecimento e Instalação de Poste Circular 9 mts (150 kg), com Engastamento Simples, incl Escavação e Reaterro Apiloado, conf. Normatização Rede Cemat</v>
          </cell>
          <cell r="C1517" t="str">
            <v>UN</v>
          </cell>
          <cell r="D1517">
            <v>351.24250000000001</v>
          </cell>
        </row>
        <row r="1518">
          <cell r="A1518" t="str">
            <v>001.22.02300</v>
          </cell>
          <cell r="B1518" t="str">
            <v>Fornecimento e Instalação de Poste Circular 10 mts (150 kg), com Engastamento Simples, incl Escavação e Reaterro Apiloado, conf. Normatização Rede Cemat</v>
          </cell>
          <cell r="C1518" t="str">
            <v>UN</v>
          </cell>
          <cell r="D1518">
            <v>465.88119999999998</v>
          </cell>
        </row>
        <row r="1519">
          <cell r="A1519" t="str">
            <v>001.22.02320</v>
          </cell>
          <cell r="B1519" t="str">
            <v>Fornecimento e Instalação de Poste Circular 11 mts (200 kg), com Engastamento Simples, incl Escavação e Reaterro Apiloado, conf. Normatização Rede Cemat</v>
          </cell>
          <cell r="C1519" t="str">
            <v>UN</v>
          </cell>
          <cell r="D1519">
            <v>486.92169999999999</v>
          </cell>
        </row>
        <row r="1520">
          <cell r="A1520" t="str">
            <v>001.22.02340</v>
          </cell>
          <cell r="B1520" t="str">
            <v>Fornecimento e Instalação de Poste Circular 12 mts (300 kg), com Engastamento Simples, incl Escavação e Reaterro Apiloado, conf. Normatização Rede Cemat</v>
          </cell>
          <cell r="C1520" t="str">
            <v>UN</v>
          </cell>
          <cell r="D1520">
            <v>495.28809999999999</v>
          </cell>
        </row>
        <row r="1521">
          <cell r="A1521" t="str">
            <v>001.22.02360</v>
          </cell>
          <cell r="B1521" t="str">
            <v>Fornecimento e Instalação de Poste Circular 10 mts (300 kg), com Engastamento Reforçado, incl Escavação e Reaterro Apiloado, conf. Normatização Rede Cemat</v>
          </cell>
          <cell r="C1521" t="str">
            <v>UN</v>
          </cell>
          <cell r="D1521">
            <v>566.24450000000002</v>
          </cell>
        </row>
        <row r="1522">
          <cell r="A1522" t="str">
            <v>001.22.02380</v>
          </cell>
          <cell r="B1522" t="str">
            <v>Fornecimento e Instalação de Poste Circular 10 mts (150 kg), com Engastamento em Solo Cimento, incl Escavação e Reaterro Apiloado, conf. Normatização Rede Cemat</v>
          </cell>
          <cell r="C1522" t="str">
            <v>UN</v>
          </cell>
          <cell r="D1522">
            <v>480.38119999999998</v>
          </cell>
        </row>
        <row r="1523">
          <cell r="A1523" t="str">
            <v>001.22.02400</v>
          </cell>
          <cell r="B1523" t="str">
            <v>Fornecimento e Instalação de Poste Circular 10 mts (300 kg), com Engastamento em Solo Cimento, incl Escavação e Reaterro Apiloado, conf. Normatização Rede Cemat</v>
          </cell>
          <cell r="C1523" t="str">
            <v>UN</v>
          </cell>
          <cell r="D1523">
            <v>525.03120000000001</v>
          </cell>
        </row>
        <row r="1524">
          <cell r="A1524" t="str">
            <v>001.22.02420</v>
          </cell>
          <cell r="B1524" t="str">
            <v>Fornecimento e Instalação de Poste Circular 11 mts (200 kg), com Engastamento em Solo Cimento, incl Escavação e Reaterro Apiloado, conf. Normatização Rede Cemat</v>
          </cell>
          <cell r="C1524" t="str">
            <v>UN</v>
          </cell>
          <cell r="D1524">
            <v>501.42169999999999</v>
          </cell>
        </row>
        <row r="1525">
          <cell r="A1525" t="str">
            <v>001.22.02440</v>
          </cell>
          <cell r="B1525" t="str">
            <v>Fornecimento e Instalação de Poste Circular 11 mts (300 kg), com Engastamento em Solo Cimento, incl Escavação e Reaterro Apiloado, conf. Normatização Rede Cemat</v>
          </cell>
          <cell r="C1525" t="str">
            <v>UN</v>
          </cell>
          <cell r="D1525">
            <v>509.40170000000001</v>
          </cell>
        </row>
        <row r="1526">
          <cell r="A1526" t="str">
            <v>001.22.02460</v>
          </cell>
          <cell r="B1526" t="str">
            <v>Fornecimento e Instalação de Poste Circular 10 mts (600 kg), com Engastamento em Concreto Fck= 15 Mpa, incl Escavação e Reaterro Apiloado, conf. Normatização Rede Cemat</v>
          </cell>
          <cell r="C1526" t="str">
            <v>UN</v>
          </cell>
          <cell r="D1526">
            <v>513.6173</v>
          </cell>
        </row>
        <row r="1527">
          <cell r="A1527" t="str">
            <v>001.22.02480</v>
          </cell>
          <cell r="B1527" t="str">
            <v>Fornecimento e Instalação de Poste Circular 10 mts (1000 kg), com Engastamento em Concreto Fck= 15 Mpa, incl Escavação e Reaterro Apiloado, conf. Normatização Rede Cemat</v>
          </cell>
          <cell r="C1527" t="str">
            <v>UN</v>
          </cell>
          <cell r="D1527">
            <v>701.59730000000002</v>
          </cell>
        </row>
        <row r="1528">
          <cell r="A1528" t="str">
            <v>001.22.02500</v>
          </cell>
          <cell r="B1528" t="str">
            <v>Fornecimento e Instalação de Poste Circular 11 mts (600 kg), com Engastamento em Concreto Fck= 15 Mpa, incl Escavação e Reaterro Apiloado, conf. Normatização Rede Cemat</v>
          </cell>
          <cell r="C1528" t="str">
            <v>UN</v>
          </cell>
          <cell r="D1528">
            <v>574.3578</v>
          </cell>
        </row>
        <row r="1529">
          <cell r="A1529" t="str">
            <v>001.22.02520</v>
          </cell>
          <cell r="B1529" t="str">
            <v>Fornecimento e Instalação de Poste Circular 11 mts (1000 kg), com Engastamento em Concreto Fck= 15 Mpa, incl Escavação e Reaterro Apiloado, conf. Normatização Rede Cemat</v>
          </cell>
          <cell r="C1529" t="str">
            <v>UN</v>
          </cell>
          <cell r="D1529">
            <v>987.11779999999999</v>
          </cell>
        </row>
        <row r="1530">
          <cell r="A1530" t="str">
            <v>001.23</v>
          </cell>
          <cell r="B1530" t="str">
            <v>INSTALAÇÕES ELÉTRICAS - SERVIÇOS DE MANUTENÇÃO</v>
          </cell>
          <cell r="D1530">
            <v>734.33730000000003</v>
          </cell>
        </row>
        <row r="1531">
          <cell r="A1531" t="str">
            <v>001.23.00040</v>
          </cell>
          <cell r="B1531" t="str">
            <v>Revisão em ponto de energia c/ reaperto e substituição de fita isolante</v>
          </cell>
          <cell r="C1531" t="str">
            <v>PT</v>
          </cell>
          <cell r="D1531">
            <v>4.7134999999999998</v>
          </cell>
        </row>
        <row r="1532">
          <cell r="A1532" t="str">
            <v>001.23.00080</v>
          </cell>
          <cell r="B1532" t="str">
            <v>Fornecimento e substituição de espelho (ou placa) p/ tomada e/ou interruptor 4""""""""x2""""""""</v>
          </cell>
          <cell r="C1532" t="str">
            <v>UN</v>
          </cell>
          <cell r="D1532">
            <v>1.5708</v>
          </cell>
        </row>
        <row r="1533">
          <cell r="A1533" t="str">
            <v>001.23.00100</v>
          </cell>
          <cell r="B1533" t="str">
            <v>Fornecimento e substituição de espelho (ou placa) p/ tomada e/ou interruptor 4""""""""x4""""""""</v>
          </cell>
          <cell r="C1533" t="str">
            <v>UN</v>
          </cell>
          <cell r="D1533">
            <v>2.9007999999999998</v>
          </cell>
        </row>
        <row r="1534">
          <cell r="A1534" t="str">
            <v>001.23.00120</v>
          </cell>
          <cell r="B1534" t="str">
            <v>Fornecimento e substituição de tomada simples universal com espelho</v>
          </cell>
          <cell r="C1534" t="str">
            <v>UN</v>
          </cell>
          <cell r="D1534">
            <v>5.9904000000000002</v>
          </cell>
        </row>
        <row r="1535">
          <cell r="A1535" t="str">
            <v>001.23.00140</v>
          </cell>
          <cell r="B1535" t="str">
            <v>Fornecimento e substituição de interruptor c/ uma tecla simples c/ espelho</v>
          </cell>
          <cell r="C1535" t="str">
            <v>UN</v>
          </cell>
          <cell r="D1535">
            <v>6.3903999999999996</v>
          </cell>
        </row>
        <row r="1536">
          <cell r="A1536" t="str">
            <v>001.23.00160</v>
          </cell>
          <cell r="B1536" t="str">
            <v>Fornecimento e substituição de interruptor c/ duas teclas simples c/ espelho</v>
          </cell>
          <cell r="C1536" t="str">
            <v>UN</v>
          </cell>
          <cell r="D1536">
            <v>7.8316999999999997</v>
          </cell>
        </row>
        <row r="1537">
          <cell r="A1537" t="str">
            <v>001.23.00180</v>
          </cell>
          <cell r="B1537" t="str">
            <v>Forencimento e substituição de interruptor c/ tres teclas simples c/ espelho</v>
          </cell>
          <cell r="C1537" t="str">
            <v>UN</v>
          </cell>
          <cell r="D1537">
            <v>13.898999999999999</v>
          </cell>
        </row>
        <row r="1538">
          <cell r="A1538" t="str">
            <v>001.23.00200</v>
          </cell>
          <cell r="B1538" t="str">
            <v>Fornecimento e substituição de interruptor c/ uma tecla paralela e espelho</v>
          </cell>
          <cell r="C1538" t="str">
            <v>UN</v>
          </cell>
          <cell r="D1538">
            <v>13.613899999999999</v>
          </cell>
        </row>
        <row r="1539">
          <cell r="A1539" t="str">
            <v>001.23.00220</v>
          </cell>
          <cell r="B1539" t="str">
            <v>Fornecimento e substituição de reator simples a.f.p./p.r. - 1x20 w</v>
          </cell>
          <cell r="C1539" t="str">
            <v>UN</v>
          </cell>
          <cell r="D1539">
            <v>24.139099999999999</v>
          </cell>
        </row>
        <row r="1540">
          <cell r="A1540" t="str">
            <v>001.23.00240</v>
          </cell>
          <cell r="B1540" t="str">
            <v>Fornecimento e substituição de reator simples a.f.p./p.r. - 1x40 w</v>
          </cell>
          <cell r="C1540" t="str">
            <v>UN</v>
          </cell>
          <cell r="D1540">
            <v>34.139099999999999</v>
          </cell>
        </row>
        <row r="1541">
          <cell r="A1541" t="str">
            <v>001.23.00260</v>
          </cell>
          <cell r="B1541" t="str">
            <v>Fornecimento e substituição de reator duplo a.f.p./p.r. - 2x20 w</v>
          </cell>
          <cell r="C1541" t="str">
            <v>UN</v>
          </cell>
          <cell r="D1541">
            <v>34.736499999999999</v>
          </cell>
        </row>
        <row r="1542">
          <cell r="A1542" t="str">
            <v>001.23.00280</v>
          </cell>
          <cell r="B1542" t="str">
            <v>Fornecimento e substituição de reator duplo a.f.p./p.r. - 2x40 w</v>
          </cell>
          <cell r="C1542" t="str">
            <v>UN</v>
          </cell>
          <cell r="D1542">
            <v>34.736499999999999</v>
          </cell>
        </row>
        <row r="1543">
          <cell r="A1543" t="str">
            <v>001.23.00300</v>
          </cell>
          <cell r="B1543" t="str">
            <v>Fornecimento e substituição de lâmpada incandescente de 60 w</v>
          </cell>
          <cell r="C1543" t="str">
            <v>UN</v>
          </cell>
          <cell r="D1543">
            <v>1.8673999999999999</v>
          </cell>
        </row>
        <row r="1544">
          <cell r="A1544" t="str">
            <v>001.23.00320</v>
          </cell>
          <cell r="B1544" t="str">
            <v>Fornecimento e substituição de lâmpada incandescente de 100 w</v>
          </cell>
          <cell r="C1544" t="str">
            <v>UN</v>
          </cell>
          <cell r="D1544">
            <v>2.2073999999999998</v>
          </cell>
        </row>
        <row r="1545">
          <cell r="A1545" t="str">
            <v>001.23.00340</v>
          </cell>
          <cell r="B1545" t="str">
            <v>Fornecimento e substituição de lâmpada fluorescente de 20 w</v>
          </cell>
          <cell r="C1545" t="str">
            <v>UN</v>
          </cell>
          <cell r="D1545">
            <v>3.9973999999999998</v>
          </cell>
        </row>
        <row r="1546">
          <cell r="A1546" t="str">
            <v>001.23.00360</v>
          </cell>
          <cell r="B1546" t="str">
            <v>Fornecimento e substituição de lâmpada fluorescente de 40 w</v>
          </cell>
          <cell r="C1546" t="str">
            <v>UN</v>
          </cell>
          <cell r="D1546">
            <v>3.9973999999999998</v>
          </cell>
        </row>
        <row r="1547">
          <cell r="A1547" t="str">
            <v>001.23.00380</v>
          </cell>
          <cell r="B1547" t="str">
            <v>Fornecimento e substituição de disjuntor monopolar de 15 a</v>
          </cell>
          <cell r="C1547" t="str">
            <v>UN</v>
          </cell>
          <cell r="D1547">
            <v>8.6694999999999993</v>
          </cell>
        </row>
        <row r="1548">
          <cell r="A1548" t="str">
            <v>001.23.00400</v>
          </cell>
          <cell r="B1548" t="str">
            <v>Fornecimento e substituição de disjuntor monopolar de 20 a</v>
          </cell>
          <cell r="C1548" t="str">
            <v>UN</v>
          </cell>
          <cell r="D1548">
            <v>8.6694999999999993</v>
          </cell>
        </row>
        <row r="1549">
          <cell r="A1549" t="str">
            <v>001.23.00420</v>
          </cell>
          <cell r="B1549" t="str">
            <v>Fornecimento e substituição de disjuntor monopolar de 30 a</v>
          </cell>
          <cell r="C1549" t="str">
            <v>UN</v>
          </cell>
          <cell r="D1549">
            <v>8.6694999999999993</v>
          </cell>
        </row>
        <row r="1550">
          <cell r="A1550" t="str">
            <v>001.23.00440</v>
          </cell>
          <cell r="B1550" t="str">
            <v>Fornecimento e substituição de disjuntor monopolar de 40 a</v>
          </cell>
          <cell r="C1550" t="str">
            <v>UN</v>
          </cell>
          <cell r="D1550">
            <v>10.5695</v>
          </cell>
        </row>
        <row r="1551">
          <cell r="A1551" t="str">
            <v>001.23.00460</v>
          </cell>
          <cell r="B1551" t="str">
            <v>Fornecimento e substituição de disjuntor monopolar de 50 a</v>
          </cell>
          <cell r="C1551" t="str">
            <v>UN</v>
          </cell>
          <cell r="D1551">
            <v>10.5695</v>
          </cell>
        </row>
        <row r="1552">
          <cell r="A1552" t="str">
            <v>001.23.00480</v>
          </cell>
          <cell r="B1552" t="str">
            <v>Fornecimento e substituição de disjuntor bipolar de 15 a</v>
          </cell>
          <cell r="C1552" t="str">
            <v>UN</v>
          </cell>
          <cell r="D1552">
            <v>34.889099999999999</v>
          </cell>
        </row>
        <row r="1553">
          <cell r="A1553" t="str">
            <v>001.23.00500</v>
          </cell>
          <cell r="B1553" t="str">
            <v>Fornecimento e substituição de disjuntor bipolar de 20 a</v>
          </cell>
          <cell r="C1553" t="str">
            <v>UN</v>
          </cell>
          <cell r="D1553">
            <v>34.889099999999999</v>
          </cell>
        </row>
        <row r="1554">
          <cell r="A1554" t="str">
            <v>001.23.00520</v>
          </cell>
          <cell r="B1554" t="str">
            <v>Fornecimento e substituição de disjuntor bipolar de 30 a</v>
          </cell>
          <cell r="C1554" t="str">
            <v>UN</v>
          </cell>
          <cell r="D1554">
            <v>34.889099999999999</v>
          </cell>
        </row>
        <row r="1555">
          <cell r="A1555" t="str">
            <v>001.23.00540</v>
          </cell>
          <cell r="B1555" t="str">
            <v>Fornecimento e substituição de disjuntor bipolar de 40 a</v>
          </cell>
          <cell r="C1555" t="str">
            <v>UN</v>
          </cell>
          <cell r="D1555">
            <v>34.889099999999999</v>
          </cell>
        </row>
        <row r="1556">
          <cell r="A1556" t="str">
            <v>001.23.00560</v>
          </cell>
          <cell r="B1556" t="str">
            <v>Fornecimento e substituição de disjuntor bipolar de 50 a</v>
          </cell>
          <cell r="C1556" t="str">
            <v>UN</v>
          </cell>
          <cell r="D1556">
            <v>34.889099999999999</v>
          </cell>
        </row>
        <row r="1557">
          <cell r="A1557" t="str">
            <v>001.23.00580</v>
          </cell>
          <cell r="B1557" t="str">
            <v>Fornecimento e substituição de disjuntor tripolar de 15 a</v>
          </cell>
          <cell r="C1557" t="str">
            <v>UN</v>
          </cell>
          <cell r="D1557">
            <v>36.591299999999997</v>
          </cell>
        </row>
        <row r="1558">
          <cell r="A1558" t="str">
            <v>001.23.00600</v>
          </cell>
          <cell r="B1558" t="str">
            <v>Fornecimento e substituição de disjuntor tripolar de 20 a</v>
          </cell>
          <cell r="C1558" t="str">
            <v>UN</v>
          </cell>
          <cell r="D1558">
            <v>36.591299999999997</v>
          </cell>
        </row>
        <row r="1559">
          <cell r="A1559" t="str">
            <v>001.23.00620</v>
          </cell>
          <cell r="B1559" t="str">
            <v>Fornecimento e substituição de disjuntor tripolar de 30 a</v>
          </cell>
          <cell r="C1559" t="str">
            <v>UN</v>
          </cell>
          <cell r="D1559">
            <v>35.573900000000002</v>
          </cell>
        </row>
        <row r="1560">
          <cell r="A1560" t="str">
            <v>001.23.00640</v>
          </cell>
          <cell r="B1560" t="str">
            <v>Fornecimento e substituição de disjuntor tripolar de 40 a</v>
          </cell>
          <cell r="C1560" t="str">
            <v>UN</v>
          </cell>
          <cell r="D1560">
            <v>36.591299999999997</v>
          </cell>
        </row>
        <row r="1561">
          <cell r="A1561" t="str">
            <v>001.23.00660</v>
          </cell>
          <cell r="B1561" t="str">
            <v>Fornecimento e substituição de disjuntor tripolar de 50 a</v>
          </cell>
          <cell r="C1561" t="str">
            <v>UN</v>
          </cell>
          <cell r="D1561">
            <v>36.591299999999997</v>
          </cell>
        </row>
        <row r="1562">
          <cell r="A1562" t="str">
            <v>001.23.00680</v>
          </cell>
          <cell r="B1562" t="str">
            <v>Fornecimento e substituição de disjuntor tripolar de 70 a</v>
          </cell>
          <cell r="C1562" t="str">
            <v>UN</v>
          </cell>
          <cell r="D1562">
            <v>44.691299999999998</v>
          </cell>
        </row>
        <row r="1563">
          <cell r="A1563" t="str">
            <v>001.23.00700</v>
          </cell>
          <cell r="B1563" t="str">
            <v>Fornecimento e substituição de disjuntor tripolar de 90 a</v>
          </cell>
          <cell r="C1563" t="str">
            <v>UN</v>
          </cell>
          <cell r="D1563">
            <v>44.691299999999998</v>
          </cell>
        </row>
        <row r="1564">
          <cell r="A1564" t="str">
            <v>001.23.00720</v>
          </cell>
          <cell r="B1564" t="str">
            <v>Fornecimento e substituição de disjuntor tripolar de 100 a</v>
          </cell>
          <cell r="C1564" t="str">
            <v>UN</v>
          </cell>
          <cell r="D1564">
            <v>44.691299999999998</v>
          </cell>
        </row>
        <row r="1565">
          <cell r="A1565" t="str">
            <v>001.24</v>
          </cell>
          <cell r="B1565" t="str">
            <v>INSTALAÇÕES HIDRÁULICAS - PRELIMINARES</v>
          </cell>
          <cell r="D1565">
            <v>10772.4722</v>
          </cell>
        </row>
        <row r="1566">
          <cell r="A1566" t="str">
            <v>001.24.00020</v>
          </cell>
          <cell r="B1566" t="str">
            <v>Abertura e enchimento de rasgos na alvenaria para passagem de canalização diâmetro 1/2 à 1 pol</v>
          </cell>
          <cell r="C1566" t="str">
            <v>ML</v>
          </cell>
          <cell r="D1566">
            <v>2.0531000000000001</v>
          </cell>
        </row>
        <row r="1567">
          <cell r="A1567" t="str">
            <v>001.24.00040</v>
          </cell>
          <cell r="B1567" t="str">
            <v>Abertura e enchimento de rasgos na alvenaria para passagem de canalização diâmetro 1 1/4 à 2 pol</v>
          </cell>
          <cell r="C1567" t="str">
            <v>ML</v>
          </cell>
          <cell r="D1567">
            <v>2.7353999999999998</v>
          </cell>
        </row>
        <row r="1568">
          <cell r="A1568" t="str">
            <v>001.24.00060</v>
          </cell>
          <cell r="B1568" t="str">
            <v>Abertura e enchimento de rasgos na alvenaria para passagem de canalização diâmetro 2.5 à 4 pol</v>
          </cell>
          <cell r="C1568" t="str">
            <v>ML</v>
          </cell>
          <cell r="D1568">
            <v>3.8428</v>
          </cell>
        </row>
        <row r="1569">
          <cell r="A1569" t="str">
            <v>001.24.00080</v>
          </cell>
          <cell r="B1569" t="str">
            <v>Abertura e enchimento de rasgos no concreto para passagem de canalização diâmetro de 1/2 à 1 pol</v>
          </cell>
          <cell r="C1569" t="str">
            <v>ML</v>
          </cell>
          <cell r="D1569">
            <v>4.4991000000000003</v>
          </cell>
        </row>
        <row r="1570">
          <cell r="A1570" t="str">
            <v>001.24.00100</v>
          </cell>
          <cell r="B1570" t="str">
            <v>Fornecimento e instalação de entrada padrão de água através de cavalete completo em tubo de fºgº, padrão sanemat - 3/4""""""""""""""""""""""""""""""""</v>
          </cell>
          <cell r="C1570" t="str">
            <v>UN</v>
          </cell>
          <cell r="D1570">
            <v>34.4739</v>
          </cell>
        </row>
        <row r="1571">
          <cell r="A1571" t="str">
            <v>001.24.00120</v>
          </cell>
          <cell r="B1571" t="str">
            <v>Fornecimento e colocação de caixa de água de pvc, incl tampa de 1000 litros</v>
          </cell>
          <cell r="C1571" t="str">
            <v>UN</v>
          </cell>
          <cell r="D1571">
            <v>238.45779999999999</v>
          </cell>
        </row>
        <row r="1572">
          <cell r="A1572" t="str">
            <v>001.24.00140</v>
          </cell>
          <cell r="B1572" t="str">
            <v>Fornecimento e colocação de caixa de água de pvc, incl tampa de 500 litros</v>
          </cell>
          <cell r="C1572" t="str">
            <v>UN</v>
          </cell>
          <cell r="D1572">
            <v>141.7209</v>
          </cell>
        </row>
        <row r="1573">
          <cell r="A1573" t="str">
            <v>001.24.00160</v>
          </cell>
          <cell r="B1573" t="str">
            <v>Fornecimento e colocação de caixa de água de pvc, incl tampa de 310 litros</v>
          </cell>
          <cell r="C1573" t="str">
            <v>UN</v>
          </cell>
          <cell r="D1573">
            <v>138.6687</v>
          </cell>
        </row>
        <row r="1574">
          <cell r="A1574" t="str">
            <v>001.24.00180</v>
          </cell>
          <cell r="B1574" t="str">
            <v>Fornecimento e colocação de caixa de água de pvc, incl tampa de 100 litros</v>
          </cell>
          <cell r="C1574" t="str">
            <v>UN</v>
          </cell>
          <cell r="D1574">
            <v>136.63390000000001</v>
          </cell>
        </row>
        <row r="1575">
          <cell r="A1575" t="str">
            <v>001.24.00200</v>
          </cell>
          <cell r="B1575" t="str">
            <v>Fornecimento e  instalação de caixa de água metálica tipo taça com altura total de 6.00 m inclusive pintura (interna e externa)  base de fixação e instalação, de 5.000 litros</v>
          </cell>
          <cell r="C1575" t="str">
            <v>UN</v>
          </cell>
          <cell r="D1575">
            <v>9800</v>
          </cell>
        </row>
        <row r="1576">
          <cell r="A1576" t="str">
            <v>001.24.00220</v>
          </cell>
          <cell r="B1576" t="str">
            <v>Fornecimento e instalação de bóia interna tipo (são paulo) p/ caixa de água  amarelo bruto n.1350 marca deca 2 pol</v>
          </cell>
          <cell r="C1576" t="str">
            <v>UN</v>
          </cell>
          <cell r="D1576">
            <v>62.944299999999998</v>
          </cell>
        </row>
        <row r="1577">
          <cell r="A1577" t="str">
            <v>001.24.00240</v>
          </cell>
          <cell r="B1577" t="str">
            <v>Fornecimento e instalação de bóia interna tipo (são paulo) p/ caixa de água  amarelo bruto n.1350 marca deca 1 1/2 pol</v>
          </cell>
          <cell r="C1577" t="str">
            <v>UN</v>
          </cell>
          <cell r="D1577">
            <v>52.943399999999997</v>
          </cell>
        </row>
        <row r="1578">
          <cell r="A1578" t="str">
            <v>001.24.00260</v>
          </cell>
          <cell r="B1578" t="str">
            <v>Fornecimento e instalação de bóia interna tipo (são paulo) p/ caixa de água  amarelo bruto n.1350 marca deca 1 1/4 pol</v>
          </cell>
          <cell r="C1578" t="str">
            <v>UN</v>
          </cell>
          <cell r="D1578">
            <v>42.079500000000003</v>
          </cell>
        </row>
        <row r="1579">
          <cell r="A1579" t="str">
            <v>001.24.00280</v>
          </cell>
          <cell r="B1579" t="str">
            <v>Fornecimento e instalação de bóia interna tipo (são paulo) p/ caixa de água  amarelo bruto n.1350 marca deca 1 pol</v>
          </cell>
          <cell r="C1579" t="str">
            <v>UN</v>
          </cell>
          <cell r="D1579">
            <v>30.827100000000002</v>
          </cell>
        </row>
        <row r="1580">
          <cell r="A1580" t="str">
            <v>001.24.00300</v>
          </cell>
          <cell r="B1580" t="str">
            <v>Fornecimento e instalação de bóia interna tipo (são paulo) p/ caixa de água  amarelo bruto n.1350 marca deca 3/4 pol</v>
          </cell>
          <cell r="C1580" t="str">
            <v>UN</v>
          </cell>
          <cell r="D1580">
            <v>24.886299999999999</v>
          </cell>
        </row>
        <row r="1581">
          <cell r="A1581" t="str">
            <v>001.24.00320</v>
          </cell>
          <cell r="B1581" t="str">
            <v>Fornecimento e instalação de bóia interna tipo (são paulo) p/ caixa de água  amarelo bruto n.1350 marca deca 1/2 pol</v>
          </cell>
          <cell r="C1581" t="str">
            <v>UN</v>
          </cell>
          <cell r="D1581">
            <v>22.866299999999999</v>
          </cell>
        </row>
        <row r="1582">
          <cell r="A1582" t="str">
            <v>001.24.00340</v>
          </cell>
          <cell r="B1582" t="str">
            <v>Fornecimento e instalação de torneira bóia p/ caixa de água em pvc marca cipla 1 pol</v>
          </cell>
          <cell r="C1582" t="str">
            <v>UN</v>
          </cell>
          <cell r="D1582">
            <v>11.4071</v>
          </cell>
        </row>
        <row r="1583">
          <cell r="A1583" t="str">
            <v>001.24.00360</v>
          </cell>
          <cell r="B1583" t="str">
            <v>Fornecimento e instalação de torneira bóia p/ caixa de água em pvc marca cipla 3/4 pol</v>
          </cell>
          <cell r="C1583" t="str">
            <v>UN</v>
          </cell>
          <cell r="D1583">
            <v>10.7163</v>
          </cell>
        </row>
        <row r="1584">
          <cell r="A1584" t="str">
            <v>001.24.00380</v>
          </cell>
          <cell r="B1584" t="str">
            <v>Fornecimento e instalação de torneira bóia p/ caixa de água em pvc marca cipla 1/2 pol</v>
          </cell>
          <cell r="C1584" t="str">
            <v>UN</v>
          </cell>
          <cell r="D1584">
            <v>10.7163</v>
          </cell>
        </row>
        <row r="1585">
          <cell r="A1585" t="str">
            <v>001.25</v>
          </cell>
          <cell r="B1585" t="str">
            <v>INSTALAÇÕES HIDRÁULICAS - PVC SOLDÁVEL/ROSCÁVEL MARROM</v>
          </cell>
          <cell r="D1585">
            <v>2223.9286999999999</v>
          </cell>
        </row>
        <row r="1586">
          <cell r="A1586" t="str">
            <v>001.25.00020</v>
          </cell>
          <cell r="B1586" t="str">
            <v>Tubo de pvc rígido soldável marrom em barra de 6 m diâmetro 110mm (4) pol</v>
          </cell>
          <cell r="C1586" t="str">
            <v>M</v>
          </cell>
          <cell r="D1586">
            <v>28.8324</v>
          </cell>
        </row>
        <row r="1587">
          <cell r="A1587" t="str">
            <v>001.25.00040</v>
          </cell>
          <cell r="B1587" t="str">
            <v>Tubo de pvc rígido soldável marrom em barra de 6 m diâmetro 85mm (3) pol</v>
          </cell>
          <cell r="C1587" t="str">
            <v>M</v>
          </cell>
          <cell r="D1587">
            <v>24.287400000000002</v>
          </cell>
        </row>
        <row r="1588">
          <cell r="A1588" t="str">
            <v>001.25.00060</v>
          </cell>
          <cell r="B1588" t="str">
            <v>Tubo de pvc rígido soldável marrom em barra de 6 m diâmetro 75mm (2.5) pol</v>
          </cell>
          <cell r="C1588" t="str">
            <v>M</v>
          </cell>
          <cell r="D1588">
            <v>12.844099999999999</v>
          </cell>
        </row>
        <row r="1589">
          <cell r="A1589" t="str">
            <v>001.25.00080</v>
          </cell>
          <cell r="B1589" t="str">
            <v>Tubo de pvc rígido soldável marrom em barra de 6 m diâmetro 60mm (2) pl</v>
          </cell>
          <cell r="C1589" t="str">
            <v>M</v>
          </cell>
          <cell r="D1589">
            <v>8.5120000000000005</v>
          </cell>
        </row>
        <row r="1590">
          <cell r="A1590" t="str">
            <v>001.25.00100</v>
          </cell>
          <cell r="B1590" t="str">
            <v>Tubo de pvc rígido soldável marrom em barra de 6 m diâmetro 50mm (1.5) pol</v>
          </cell>
          <cell r="C1590" t="str">
            <v>M</v>
          </cell>
          <cell r="D1590">
            <v>5.1649000000000003</v>
          </cell>
        </row>
        <row r="1591">
          <cell r="A1591" t="str">
            <v>001.25.00120</v>
          </cell>
          <cell r="B1591" t="str">
            <v>Tubo de pvc rígido soldável marrom em barra de 6 m diâmetro 40mm (1.1/4) pol</v>
          </cell>
          <cell r="C1591" t="str">
            <v>M</v>
          </cell>
          <cell r="D1591">
            <v>6.1384999999999996</v>
          </cell>
        </row>
        <row r="1592">
          <cell r="A1592" t="str">
            <v>001.25.00140</v>
          </cell>
          <cell r="B1592" t="str">
            <v>Tubo de pvc rígido soldável marrom em barra de 6 m diâmetro 32mm (1) pol</v>
          </cell>
          <cell r="C1592" t="str">
            <v>M</v>
          </cell>
          <cell r="D1592">
            <v>4.7554999999999996</v>
          </cell>
        </row>
        <row r="1593">
          <cell r="A1593" t="str">
            <v>001.25.00160</v>
          </cell>
          <cell r="B1593" t="str">
            <v>Tubo de pvc rígido sodável marrom em barra de 6 m diâmetro 25mm (3/4) pol</v>
          </cell>
          <cell r="C1593" t="str">
            <v>M</v>
          </cell>
          <cell r="D1593">
            <v>1.7457</v>
          </cell>
        </row>
        <row r="1594">
          <cell r="A1594" t="str">
            <v>001.25.00180</v>
          </cell>
          <cell r="B1594" t="str">
            <v>Tubo de pvc rígido soldável marrom em barra de 6 m diâmetro 20mm (1/2) pol</v>
          </cell>
          <cell r="C1594" t="str">
            <v>M</v>
          </cell>
          <cell r="D1594">
            <v>1.7238</v>
          </cell>
        </row>
        <row r="1595">
          <cell r="A1595" t="str">
            <v>001.25.00200</v>
          </cell>
          <cell r="B1595" t="str">
            <v>Curva de 90º de pvc rígido para tubo soldável 110mm ( 4 pol )</v>
          </cell>
          <cell r="C1595" t="str">
            <v>UN</v>
          </cell>
          <cell r="D1595">
            <v>31.7151</v>
          </cell>
        </row>
        <row r="1596">
          <cell r="A1596" t="str">
            <v>001.25.00220</v>
          </cell>
          <cell r="B1596" t="str">
            <v>Curva de 90º de pvc rígido para tubo soldável 85mm ( 3 pol )</v>
          </cell>
          <cell r="C1596" t="str">
            <v>UN</v>
          </cell>
          <cell r="D1596">
            <v>15.64</v>
          </cell>
        </row>
        <row r="1597">
          <cell r="A1597" t="str">
            <v>001.25.00240</v>
          </cell>
          <cell r="B1597" t="str">
            <v>Curva de 90º de pvc rígido para tubo soldável 75mm (21/2 pol)</v>
          </cell>
          <cell r="C1597" t="str">
            <v>UN</v>
          </cell>
          <cell r="D1597">
            <v>16.07</v>
          </cell>
        </row>
        <row r="1598">
          <cell r="A1598" t="str">
            <v>001.25.00260</v>
          </cell>
          <cell r="B1598" t="str">
            <v>Curva de 90º de pvc rígido para tubo soldável 60mm (2 pol)</v>
          </cell>
          <cell r="C1598" t="str">
            <v>UN</v>
          </cell>
          <cell r="D1598">
            <v>13.555</v>
          </cell>
        </row>
        <row r="1599">
          <cell r="A1599" t="str">
            <v>001.25.00280</v>
          </cell>
          <cell r="B1599" t="str">
            <v>Curva de 90º de pvc rígido para tubo soldável 50mm (1 1/2 pol)</v>
          </cell>
          <cell r="C1599" t="str">
            <v>UN</v>
          </cell>
          <cell r="D1599">
            <v>6.5149999999999997</v>
          </cell>
        </row>
        <row r="1600">
          <cell r="A1600" t="str">
            <v>001.25.00300</v>
          </cell>
          <cell r="B1600" t="str">
            <v>Curva de 90º de pvc rígido para tubo soldável 40mm (1 1/4 pol)</v>
          </cell>
          <cell r="C1600" t="str">
            <v>UN</v>
          </cell>
          <cell r="D1600">
            <v>5.5049999999999999</v>
          </cell>
        </row>
        <row r="1601">
          <cell r="A1601" t="str">
            <v>001.25.00320</v>
          </cell>
          <cell r="B1601" t="str">
            <v>Curva de 90º de pvc rígido para tubo soldável 32mm (1 pol)</v>
          </cell>
          <cell r="C1601" t="str">
            <v>UN</v>
          </cell>
          <cell r="D1601">
            <v>5.3400999999999996</v>
          </cell>
        </row>
        <row r="1602">
          <cell r="A1602" t="str">
            <v>001.25.00340</v>
          </cell>
          <cell r="B1602" t="str">
            <v>Curva de 90º de pvc rígido para tubo soldável 25mm (3/4 pol)</v>
          </cell>
          <cell r="C1602" t="str">
            <v>UN</v>
          </cell>
          <cell r="D1602">
            <v>3.4701</v>
          </cell>
        </row>
        <row r="1603">
          <cell r="A1603" t="str">
            <v>001.25.00360</v>
          </cell>
          <cell r="B1603" t="str">
            <v>Curva de 90º de pvc rígido para tubo soldável 20mm (1/2 pol)</v>
          </cell>
          <cell r="C1603" t="str">
            <v>UN</v>
          </cell>
          <cell r="D1603">
            <v>2.6301000000000001</v>
          </cell>
        </row>
        <row r="1604">
          <cell r="A1604" t="str">
            <v>001.25.00380</v>
          </cell>
          <cell r="B1604" t="str">
            <v>Curva de 45º de pvc rígido para tubo soldável 110mm ( 4 pol )</v>
          </cell>
          <cell r="C1604" t="str">
            <v>UN</v>
          </cell>
          <cell r="D1604">
            <v>27.245100000000001</v>
          </cell>
        </row>
        <row r="1605">
          <cell r="A1605" t="str">
            <v>001.25.00400</v>
          </cell>
          <cell r="B1605" t="str">
            <v>Curva de 45º de pvc rígido para tubo soldável 85mm ( 3 pol )</v>
          </cell>
          <cell r="C1605" t="str">
            <v>UN</v>
          </cell>
          <cell r="D1605">
            <v>12.29</v>
          </cell>
        </row>
        <row r="1606">
          <cell r="A1606" t="str">
            <v>001.25.00420</v>
          </cell>
          <cell r="B1606" t="str">
            <v>Curva de 45º de pvc rígido para tubo soldável 75mm ( 2 1/2 pol )</v>
          </cell>
          <cell r="C1606" t="str">
            <v>UN</v>
          </cell>
          <cell r="D1606">
            <v>8.69</v>
          </cell>
        </row>
        <row r="1607">
          <cell r="A1607" t="str">
            <v>001.25.00440</v>
          </cell>
          <cell r="B1607" t="str">
            <v>Curva de 45º de pvc rígido para tubo soldável 60mm ( 2  pol )</v>
          </cell>
          <cell r="C1607" t="str">
            <v>UN</v>
          </cell>
          <cell r="D1607">
            <v>5.1150000000000002</v>
          </cell>
        </row>
        <row r="1608">
          <cell r="A1608" t="str">
            <v>001.25.00460</v>
          </cell>
          <cell r="B1608" t="str">
            <v>Curva de 45º de pvc rígido para tubo soldável 50mm ( 1 1/2  pol )</v>
          </cell>
          <cell r="C1608" t="str">
            <v>UN</v>
          </cell>
          <cell r="D1608">
            <v>3.5049999999999999</v>
          </cell>
        </row>
        <row r="1609">
          <cell r="A1609" t="str">
            <v>001.25.00480</v>
          </cell>
          <cell r="B1609" t="str">
            <v>Curva de 45º de pvc rígido para tubo soldável 50mm ( 1 1/4  pol )</v>
          </cell>
          <cell r="C1609" t="str">
            <v>UN</v>
          </cell>
          <cell r="D1609">
            <v>2.2850000000000001</v>
          </cell>
        </row>
        <row r="1610">
          <cell r="A1610" t="str">
            <v>001.25.00500</v>
          </cell>
          <cell r="B1610" t="str">
            <v>Curva de 45º de pvc rígido para tubo soldável 32mm ( 1  pol )</v>
          </cell>
          <cell r="C1610" t="str">
            <v>UN</v>
          </cell>
          <cell r="D1610">
            <v>1.3601000000000001</v>
          </cell>
        </row>
        <row r="1611">
          <cell r="A1611" t="str">
            <v>001.25.00520</v>
          </cell>
          <cell r="B1611" t="str">
            <v>Curva de 45º de pvc rígido para tubo soldável 25mm ( 3/4  pol )</v>
          </cell>
          <cell r="C1611" t="str">
            <v>UN</v>
          </cell>
          <cell r="D1611">
            <v>1.0901000000000001</v>
          </cell>
        </row>
        <row r="1612">
          <cell r="A1612" t="str">
            <v>001.25.00540</v>
          </cell>
          <cell r="B1612" t="str">
            <v>Curva de 45º de pvc rígido para tubo soldável 20mm ( 1/2  pol )</v>
          </cell>
          <cell r="C1612" t="str">
            <v>UN</v>
          </cell>
          <cell r="D1612">
            <v>1.2451000000000001</v>
          </cell>
        </row>
        <row r="1613">
          <cell r="A1613" t="str">
            <v>001.25.00560</v>
          </cell>
          <cell r="B1613" t="str">
            <v>Luva de pvc rígido para tubo soldável 110mm ( 4 pol )</v>
          </cell>
          <cell r="C1613" t="str">
            <v>UN</v>
          </cell>
          <cell r="D1613">
            <v>24.205100000000002</v>
          </cell>
        </row>
        <row r="1614">
          <cell r="A1614" t="str">
            <v>001.25.00580</v>
          </cell>
          <cell r="B1614" t="str">
            <v>Luva de pvc rígido para tubo soldável 85mm ( 3 pol )</v>
          </cell>
          <cell r="C1614" t="str">
            <v>UN</v>
          </cell>
          <cell r="D1614">
            <v>20.09</v>
          </cell>
        </row>
        <row r="1615">
          <cell r="A1615" t="str">
            <v>001.25.00600</v>
          </cell>
          <cell r="B1615" t="str">
            <v>Luva de pvc rígido para tubo soldável 75mm ( 2 1/2 pol )</v>
          </cell>
          <cell r="C1615" t="str">
            <v>UN</v>
          </cell>
          <cell r="D1615">
            <v>13.49</v>
          </cell>
        </row>
        <row r="1616">
          <cell r="A1616" t="str">
            <v>001.25.00620</v>
          </cell>
          <cell r="B1616" t="str">
            <v>Luva de pvc rígido para tubo soldável 60mm ( 2 pol )</v>
          </cell>
          <cell r="C1616" t="str">
            <v>UN</v>
          </cell>
          <cell r="D1616">
            <v>1.6950000000000001</v>
          </cell>
        </row>
        <row r="1617">
          <cell r="A1617" t="str">
            <v>001.25.00640</v>
          </cell>
          <cell r="B1617" t="str">
            <v>Luva de pvc rígido para tubo soldável 50mm ( 1 1/2 pol )</v>
          </cell>
          <cell r="C1617" t="str">
            <v>UN</v>
          </cell>
          <cell r="D1617">
            <v>2.9350000000000001</v>
          </cell>
        </row>
        <row r="1618">
          <cell r="A1618" t="str">
            <v>001.25.00660</v>
          </cell>
          <cell r="B1618" t="str">
            <v>Luva de pvc rígido para tubo soldável 40mm ( 1 1/4pol )</v>
          </cell>
          <cell r="C1618" t="str">
            <v>UN</v>
          </cell>
          <cell r="D1618">
            <v>2.585</v>
          </cell>
        </row>
        <row r="1619">
          <cell r="A1619" t="str">
            <v>001.25.00680</v>
          </cell>
          <cell r="B1619" t="str">
            <v>Luva de pvc rígido para tubo soldável 32mm ( 1 pol )</v>
          </cell>
          <cell r="C1619" t="str">
            <v>UN</v>
          </cell>
          <cell r="D1619">
            <v>1.4100999999999999</v>
          </cell>
        </row>
        <row r="1620">
          <cell r="A1620" t="str">
            <v>001.25.00700</v>
          </cell>
          <cell r="B1620" t="str">
            <v>Luva de pvc rígido para tubo soldável 25mm ( 3/4 pol )</v>
          </cell>
          <cell r="C1620" t="str">
            <v>UN</v>
          </cell>
          <cell r="D1620">
            <v>1.0501</v>
          </cell>
        </row>
        <row r="1621">
          <cell r="A1621" t="str">
            <v>001.25.00720</v>
          </cell>
          <cell r="B1621" t="str">
            <v>Luva de pvc rígido para tubo soldável 20mm ( 1/2 pol )</v>
          </cell>
          <cell r="C1621" t="str">
            <v>UN</v>
          </cell>
          <cell r="D1621">
            <v>1.0401</v>
          </cell>
        </row>
        <row r="1622">
          <cell r="A1622" t="str">
            <v>001.25.00740</v>
          </cell>
          <cell r="B1622" t="str">
            <v>Cotovelo de pvc rígido para tubo soldável 110 mm (4 pol)</v>
          </cell>
          <cell r="C1622" t="str">
            <v>UN</v>
          </cell>
          <cell r="D1622">
            <v>89.765100000000004</v>
          </cell>
        </row>
        <row r="1623">
          <cell r="A1623" t="str">
            <v>001.25.00760</v>
          </cell>
          <cell r="B1623" t="str">
            <v>Cotovelo de pvc rígido para tubo soldável 85 mm (3 pol)</v>
          </cell>
          <cell r="C1623" t="str">
            <v>UN</v>
          </cell>
          <cell r="D1623">
            <v>40.549999999999997</v>
          </cell>
        </row>
        <row r="1624">
          <cell r="A1624" t="str">
            <v>001.25.00780</v>
          </cell>
          <cell r="B1624" t="str">
            <v>Cotovelo de pvc rígido para tubo soldável 75 mm (2 1/2 pol)</v>
          </cell>
          <cell r="C1624" t="str">
            <v>UN</v>
          </cell>
          <cell r="D1624">
            <v>32.409999999999997</v>
          </cell>
        </row>
        <row r="1625">
          <cell r="A1625" t="str">
            <v>001.25.00800</v>
          </cell>
          <cell r="B1625" t="str">
            <v>Cotovelo de pvc rígido para tubo soldável 60 mm (2 pol)</v>
          </cell>
          <cell r="C1625" t="str">
            <v>UN</v>
          </cell>
          <cell r="D1625">
            <v>8.4250000000000007</v>
          </cell>
        </row>
        <row r="1626">
          <cell r="A1626" t="str">
            <v>001.25.00820</v>
          </cell>
          <cell r="B1626" t="str">
            <v>Cotovelo de pvc rígido para tubo soldável 50 mm ( 1 1/2 pol)</v>
          </cell>
          <cell r="C1626" t="str">
            <v>UN</v>
          </cell>
          <cell r="D1626">
            <v>3.5449999999999999</v>
          </cell>
        </row>
        <row r="1627">
          <cell r="A1627" t="str">
            <v>001.25.00840</v>
          </cell>
          <cell r="B1627" t="str">
            <v>Cotovelo de pvc rígido para tubo soldável 40 mm ( 1 1/4 pol)</v>
          </cell>
          <cell r="C1627" t="str">
            <v>UN</v>
          </cell>
          <cell r="D1627">
            <v>3.2650000000000001</v>
          </cell>
        </row>
        <row r="1628">
          <cell r="A1628" t="str">
            <v>001.25.00860</v>
          </cell>
          <cell r="B1628" t="str">
            <v>Cotovelo de pvc rígido para tubo soldável 32 mm ( 1 pol)</v>
          </cell>
          <cell r="C1628" t="str">
            <v>UN</v>
          </cell>
          <cell r="D1628">
            <v>1.5801000000000001</v>
          </cell>
        </row>
        <row r="1629">
          <cell r="A1629" t="str">
            <v>001.25.00880</v>
          </cell>
          <cell r="B1629" t="str">
            <v>Cotovelo de pvc rígido para tubo soldável 25 mm ( 3/4 pol)</v>
          </cell>
          <cell r="C1629" t="str">
            <v>UN</v>
          </cell>
          <cell r="D1629">
            <v>1.0501</v>
          </cell>
        </row>
        <row r="1630">
          <cell r="A1630" t="str">
            <v>001.25.00900</v>
          </cell>
          <cell r="B1630" t="str">
            <v>Cotovelo de pvc rígido para tubo soldável 20 mm ( 1/2 pol)</v>
          </cell>
          <cell r="C1630" t="str">
            <v>UN</v>
          </cell>
          <cell r="D1630">
            <v>0.98009999999999997</v>
          </cell>
        </row>
        <row r="1631">
          <cell r="A1631" t="str">
            <v>001.25.00920</v>
          </cell>
          <cell r="B1631" t="str">
            <v>Cotovelo 90º com redução de pvc rígido para tubo soldável 40 x 32mm ( 1.1/4 x 1 pol )</v>
          </cell>
          <cell r="C1631" t="str">
            <v>UN</v>
          </cell>
          <cell r="D1631">
            <v>2.335</v>
          </cell>
        </row>
        <row r="1632">
          <cell r="A1632" t="str">
            <v>001.25.00940</v>
          </cell>
          <cell r="B1632" t="str">
            <v>Cotovelo 90º com redução de pvc rígido para tubo soldável 32 x 25mm ( 1 x 3/4 pol )</v>
          </cell>
          <cell r="C1632" t="str">
            <v>UN</v>
          </cell>
          <cell r="D1632">
            <v>1.9601</v>
          </cell>
        </row>
        <row r="1633">
          <cell r="A1633" t="str">
            <v>001.25.00960</v>
          </cell>
          <cell r="B1633" t="str">
            <v>Cotovelo 90º com redução de pvc rígido para tubo soldável 25 x 20mm ( 3/4 x 1/2 pol )</v>
          </cell>
          <cell r="C1633" t="str">
            <v>UN</v>
          </cell>
          <cell r="D1633">
            <v>1.7401</v>
          </cell>
        </row>
        <row r="1634">
          <cell r="A1634" t="str">
            <v>001.25.00980</v>
          </cell>
          <cell r="B1634" t="str">
            <v>Cotovelo 45º de pvc rígido para tubo soldável 50mm ( 1.1/2 pol ).</v>
          </cell>
          <cell r="C1634" t="str">
            <v>UN</v>
          </cell>
          <cell r="D1634">
            <v>4.2549999999999999</v>
          </cell>
        </row>
        <row r="1635">
          <cell r="A1635" t="str">
            <v>001.25.01000</v>
          </cell>
          <cell r="B1635" t="str">
            <v>Cotovelo 45º de pvc rígido para tubo soldável 40 mm (1 1/4 pol)</v>
          </cell>
          <cell r="C1635" t="str">
            <v>UN</v>
          </cell>
          <cell r="D1635">
            <v>3.9849999999999999</v>
          </cell>
        </row>
        <row r="1636">
          <cell r="A1636" t="str">
            <v>001.25.01020</v>
          </cell>
          <cell r="B1636" t="str">
            <v>Cotovelo 45º de pvc rígido para tubo soldável 32 mm ( 1 pol)</v>
          </cell>
          <cell r="C1636" t="str">
            <v>UN</v>
          </cell>
          <cell r="D1636">
            <v>2.3401000000000001</v>
          </cell>
        </row>
        <row r="1637">
          <cell r="A1637" t="str">
            <v>001.25.01040</v>
          </cell>
          <cell r="B1637" t="str">
            <v>Cotovelo 45º de pvc rígido para tubo soldável 25 mm ( 3/4 pol)</v>
          </cell>
          <cell r="C1637" t="str">
            <v>UN</v>
          </cell>
          <cell r="D1637">
            <v>1.3801000000000001</v>
          </cell>
        </row>
        <row r="1638">
          <cell r="A1638" t="str">
            <v>001.25.01060</v>
          </cell>
          <cell r="B1638" t="str">
            <v>Cotovelo 45º de pvc rígido para tubo soldável 20 mm ( 1/2 pol)</v>
          </cell>
          <cell r="C1638" t="str">
            <v>UN</v>
          </cell>
          <cell r="D1638">
            <v>1.0801000000000001</v>
          </cell>
        </row>
        <row r="1639">
          <cell r="A1639" t="str">
            <v>001.25.01080</v>
          </cell>
          <cell r="B1639" t="str">
            <v>Tee 90º de pvc rígido para tubo soldável 110mm ( 4 pol )</v>
          </cell>
          <cell r="C1639" t="str">
            <v>UN</v>
          </cell>
          <cell r="D1639">
            <v>68.262600000000006</v>
          </cell>
        </row>
        <row r="1640">
          <cell r="A1640" t="str">
            <v>001.25.01100</v>
          </cell>
          <cell r="B1640" t="str">
            <v>Tee 90º de pvc rígido para tubo soldável 85mm ( 3 pol )</v>
          </cell>
          <cell r="C1640" t="str">
            <v>UN</v>
          </cell>
          <cell r="D1640">
            <v>34.040100000000002</v>
          </cell>
        </row>
        <row r="1641">
          <cell r="A1641" t="str">
            <v>001.25.01120</v>
          </cell>
          <cell r="B1641" t="str">
            <v>Tee 90º de pvc rígido para tubo soldável 75mm ( 2 1/2 pol )</v>
          </cell>
          <cell r="C1641" t="str">
            <v>UN</v>
          </cell>
          <cell r="D1641">
            <v>30.5001</v>
          </cell>
        </row>
        <row r="1642">
          <cell r="A1642" t="str">
            <v>001.25.01140</v>
          </cell>
          <cell r="B1642" t="str">
            <v>Tee 90º de pvc rígido para tubo soldável 60mm ( 2 pol )</v>
          </cell>
          <cell r="C1642" t="str">
            <v>UN</v>
          </cell>
          <cell r="D1642">
            <v>11.0176</v>
          </cell>
        </row>
        <row r="1643">
          <cell r="A1643" t="str">
            <v>001.25.01160</v>
          </cell>
          <cell r="B1643" t="str">
            <v>Tee 90º de pvc rígido para tubo soldável 50mm ( 11/2 pol )</v>
          </cell>
          <cell r="C1643" t="str">
            <v>UN</v>
          </cell>
          <cell r="D1643">
            <v>5.4775999999999998</v>
          </cell>
        </row>
        <row r="1644">
          <cell r="A1644" t="str">
            <v>001.25.01180</v>
          </cell>
          <cell r="B1644" t="str">
            <v>Tee 90º de pvc rígido para tubo soldável 40mm ( 11/4 pol )</v>
          </cell>
          <cell r="C1644" t="str">
            <v>UN</v>
          </cell>
          <cell r="D1644">
            <v>5.4276</v>
          </cell>
        </row>
        <row r="1645">
          <cell r="A1645" t="str">
            <v>001.25.01200</v>
          </cell>
          <cell r="B1645" t="str">
            <v>Tee 90º de pvc rígido para tubo soldável 32mm ( 1 pol )</v>
          </cell>
          <cell r="C1645" t="str">
            <v>UN</v>
          </cell>
          <cell r="D1645">
            <v>2.665</v>
          </cell>
        </row>
        <row r="1646">
          <cell r="A1646" t="str">
            <v>001.25.01220</v>
          </cell>
          <cell r="B1646" t="str">
            <v>Tee 90º de pvc rígido para tubo soldável 25mm ( 3/4 pol )</v>
          </cell>
          <cell r="C1646" t="str">
            <v>UN</v>
          </cell>
          <cell r="D1646">
            <v>1.425</v>
          </cell>
        </row>
        <row r="1647">
          <cell r="A1647" t="str">
            <v>001.25.01240</v>
          </cell>
          <cell r="B1647" t="str">
            <v>Tee 90º de pvc rígido para tubo soldável 20mm ( 1/2 pol )</v>
          </cell>
          <cell r="C1647" t="str">
            <v>UN</v>
          </cell>
          <cell r="D1647">
            <v>1.0901000000000001</v>
          </cell>
        </row>
        <row r="1648">
          <cell r="A1648" t="str">
            <v>001.25.01260</v>
          </cell>
          <cell r="B1648" t="str">
            <v>Tee de redução de pvc rígido part tubo soldável 110 x 85mm ( 4 x 3 pol )</v>
          </cell>
          <cell r="C1648" t="str">
            <v>UN</v>
          </cell>
          <cell r="D1648">
            <v>51.4026</v>
          </cell>
        </row>
        <row r="1649">
          <cell r="A1649" t="str">
            <v>001.25.01280</v>
          </cell>
          <cell r="B1649" t="str">
            <v>Tee de redução de pvc rígido para tubo soldável 110 x 75mm ( 4 x 2.1/2 pol )</v>
          </cell>
          <cell r="C1649" t="str">
            <v>UN</v>
          </cell>
          <cell r="D1649">
            <v>20.9726</v>
          </cell>
        </row>
        <row r="1650">
          <cell r="A1650" t="str">
            <v>001.25.01300</v>
          </cell>
          <cell r="B1650" t="str">
            <v>Tee de redução de pvc rígido para tubo soldável 110 x 60mm ( 4 x 2 pol )</v>
          </cell>
          <cell r="C1650" t="str">
            <v>UN</v>
          </cell>
          <cell r="D1650">
            <v>51.4026</v>
          </cell>
        </row>
        <row r="1651">
          <cell r="A1651" t="str">
            <v>001.25.01320</v>
          </cell>
          <cell r="B1651" t="str">
            <v>Tee de redução de pvc rígido para tubo soldável 85 x 75mm ( 3 x 2.1/2 pol )</v>
          </cell>
          <cell r="C1651" t="str">
            <v>UN</v>
          </cell>
          <cell r="D1651">
            <v>29.0701</v>
          </cell>
        </row>
        <row r="1652">
          <cell r="A1652" t="str">
            <v>001.25.01340</v>
          </cell>
          <cell r="B1652" t="str">
            <v>Tee de redução de pvc rígido para tubo soldável 85 x 60mm ( 3 x 2 pol )</v>
          </cell>
          <cell r="C1652" t="str">
            <v>UN</v>
          </cell>
          <cell r="D1652">
            <v>29.0701</v>
          </cell>
        </row>
        <row r="1653">
          <cell r="A1653" t="str">
            <v>001.25.01360</v>
          </cell>
          <cell r="B1653" t="str">
            <v>Tee de redução de pvc rígido para tubo soldável 75 x 60mm ( 2.1/2 x 2 pol )</v>
          </cell>
          <cell r="C1653" t="str">
            <v>UN</v>
          </cell>
          <cell r="D1653">
            <v>22.560099999999998</v>
          </cell>
        </row>
        <row r="1654">
          <cell r="A1654" t="str">
            <v>001.25.01380</v>
          </cell>
          <cell r="B1654" t="str">
            <v>Tee de redução de pvc rígido para tubo soldável 75 x 50mm ( 2.1/2 x 1.1/2 pol )</v>
          </cell>
          <cell r="C1654" t="str">
            <v>UN</v>
          </cell>
          <cell r="D1654">
            <v>25.740100000000002</v>
          </cell>
        </row>
        <row r="1655">
          <cell r="A1655" t="str">
            <v>001.25.01400</v>
          </cell>
          <cell r="B1655" t="str">
            <v>Tee de redução de pvc rígido para tubo soldável 50 x 40mm ( 1.1/2 x 1.1/4 pol )</v>
          </cell>
          <cell r="C1655" t="str">
            <v>UN</v>
          </cell>
          <cell r="D1655">
            <v>8.8376000000000001</v>
          </cell>
        </row>
        <row r="1656">
          <cell r="A1656" t="str">
            <v>001.25.01420</v>
          </cell>
          <cell r="B1656" t="str">
            <v>Tee de redução de pvc rígido para tubo soldável 50 x 32mm ( 1.1/2 x 1 pol )</v>
          </cell>
          <cell r="C1656" t="str">
            <v>UN</v>
          </cell>
          <cell r="D1656">
            <v>7.4576000000000002</v>
          </cell>
        </row>
        <row r="1657">
          <cell r="A1657" t="str">
            <v>001.25.01440</v>
          </cell>
          <cell r="B1657" t="str">
            <v>Tee de redução de pvc rígido para tubo soldável 50 x 25mm (1.1/2 x 3/4 pol )</v>
          </cell>
          <cell r="C1657" t="str">
            <v>UN</v>
          </cell>
          <cell r="D1657">
            <v>4.0575999999999999</v>
          </cell>
        </row>
        <row r="1658">
          <cell r="A1658" t="str">
            <v>001.25.01460</v>
          </cell>
          <cell r="B1658" t="str">
            <v>Tee de redução de pvc rígido para tubo soldável 50 x 20mm (1.1/2 x 1/2 pol )</v>
          </cell>
          <cell r="C1658" t="str">
            <v>UN</v>
          </cell>
          <cell r="D1658">
            <v>5.9176000000000002</v>
          </cell>
        </row>
        <row r="1659">
          <cell r="A1659" t="str">
            <v>001.25.01480</v>
          </cell>
          <cell r="B1659" t="str">
            <v>Tee de redução de pvc rígido para tubo soldável 40 x 32mm ( 1.1/4 x 1 pol )</v>
          </cell>
          <cell r="C1659" t="str">
            <v>UN</v>
          </cell>
          <cell r="D1659">
            <v>5.2076000000000002</v>
          </cell>
        </row>
        <row r="1660">
          <cell r="A1660" t="str">
            <v>001.25.01500</v>
          </cell>
          <cell r="B1660" t="str">
            <v>Tee de redução de pvc rígido para tubo soldável 32 x 25mm ( 1 x 3/4 pol )</v>
          </cell>
          <cell r="C1660" t="str">
            <v>UN</v>
          </cell>
          <cell r="D1660">
            <v>3.9849999999999999</v>
          </cell>
        </row>
        <row r="1661">
          <cell r="A1661" t="str">
            <v>001.25.01520</v>
          </cell>
          <cell r="B1661" t="str">
            <v>Tee de redução de pvc rígido para tubo soldável 25 x 20mm ( 3/4 x 1/2 pol )</v>
          </cell>
          <cell r="C1661" t="str">
            <v>UN</v>
          </cell>
          <cell r="D1661">
            <v>2.3849999999999998</v>
          </cell>
        </row>
        <row r="1662">
          <cell r="A1662" t="str">
            <v>001.25.01540</v>
          </cell>
          <cell r="B1662" t="str">
            <v>Bucha de redução de pvc rígido para tubo soldável 110 x 85mm ( 4 x 3 pol )</v>
          </cell>
          <cell r="C1662" t="str">
            <v>UN</v>
          </cell>
          <cell r="D1662">
            <v>21.585100000000001</v>
          </cell>
        </row>
        <row r="1663">
          <cell r="A1663" t="str">
            <v>001.25.01560</v>
          </cell>
          <cell r="B1663" t="str">
            <v>Bucha de redução de pvc rígido para tubo soldável 85 x 75mm ( 3 x 2.1/2 pol )</v>
          </cell>
          <cell r="C1663" t="str">
            <v>UN</v>
          </cell>
          <cell r="D1663">
            <v>8.43</v>
          </cell>
        </row>
        <row r="1664">
          <cell r="A1664" t="str">
            <v>001.25.01580</v>
          </cell>
          <cell r="B1664" t="str">
            <v>Bucha de redução de pvc rígido para tubo soldável 75 x 60mm (2.1/2 x 2 pol )</v>
          </cell>
          <cell r="C1664" t="str">
            <v>UN</v>
          </cell>
          <cell r="D1664">
            <v>7.85</v>
          </cell>
        </row>
        <row r="1665">
          <cell r="A1665" t="str">
            <v>001.25.01600</v>
          </cell>
          <cell r="B1665" t="str">
            <v>Bucha de redução de pvc rígido para tubo soldável 60 x 50mm ( 2 x 1.1/2 pol )</v>
          </cell>
          <cell r="C1665" t="str">
            <v>UN</v>
          </cell>
          <cell r="D1665">
            <v>2.7749999999999999</v>
          </cell>
        </row>
        <row r="1666">
          <cell r="A1666" t="str">
            <v>001.25.01620</v>
          </cell>
          <cell r="B1666" t="str">
            <v>Bucha de redução de pvc rígido para tubo soldável 50 x 40mm ( 1.1/2 x 1/1/4 pol )</v>
          </cell>
          <cell r="C1666" t="str">
            <v>UN</v>
          </cell>
          <cell r="D1666">
            <v>2.7749999999999999</v>
          </cell>
        </row>
        <row r="1667">
          <cell r="A1667" t="str">
            <v>001.25.01640</v>
          </cell>
          <cell r="B1667" t="str">
            <v>Bucha de redução de pvc rígido para tubo soldável 40 x 32mm ( 1.1/4 x 1 pol )</v>
          </cell>
          <cell r="C1667" t="str">
            <v>UN</v>
          </cell>
          <cell r="D1667">
            <v>2.0249999999999999</v>
          </cell>
        </row>
        <row r="1668">
          <cell r="A1668" t="str">
            <v>001.25.01660</v>
          </cell>
          <cell r="B1668" t="str">
            <v>Bucha de redução de pvc rígido para tubo soldável 32 x 25mm ( 1 x 3/4 pol )</v>
          </cell>
          <cell r="C1668" t="str">
            <v>UN</v>
          </cell>
          <cell r="D1668">
            <v>1.0801000000000001</v>
          </cell>
        </row>
        <row r="1669">
          <cell r="A1669" t="str">
            <v>001.25.01680</v>
          </cell>
          <cell r="B1669" t="str">
            <v>Bucha de redução de pvc rígido para tubo soldável 25 x 20mm ( 3/4 x 1/2 pol )</v>
          </cell>
          <cell r="C1669" t="str">
            <v>UN</v>
          </cell>
          <cell r="D1669">
            <v>1.0501</v>
          </cell>
        </row>
        <row r="1670">
          <cell r="A1670" t="str">
            <v>001.25.01700</v>
          </cell>
          <cell r="B1670" t="str">
            <v>União de pvc rígido para tubo soldável 110mm ( 4 pol )</v>
          </cell>
          <cell r="C1670" t="str">
            <v>UN</v>
          </cell>
          <cell r="D1670">
            <v>104.7851</v>
          </cell>
        </row>
        <row r="1671">
          <cell r="A1671" t="str">
            <v>001.25.01720</v>
          </cell>
          <cell r="B1671" t="str">
            <v>União de pvc rígido para tubo soldável 85mm ( 3 pol )</v>
          </cell>
          <cell r="C1671" t="str">
            <v>UN</v>
          </cell>
          <cell r="D1671">
            <v>81.400000000000006</v>
          </cell>
        </row>
        <row r="1672">
          <cell r="A1672" t="str">
            <v>001.25.01740</v>
          </cell>
          <cell r="B1672" t="str">
            <v>União de pvc rígido para tubo soldável 75mm ( 2 1/2 pol )</v>
          </cell>
          <cell r="C1672" t="str">
            <v>UN</v>
          </cell>
          <cell r="D1672">
            <v>73.989999999999995</v>
          </cell>
        </row>
        <row r="1673">
          <cell r="A1673" t="str">
            <v>001.25.01760</v>
          </cell>
          <cell r="B1673" t="str">
            <v>União de pvc rígido para tubo soldável 60mm ( 2 pol )</v>
          </cell>
          <cell r="C1673" t="str">
            <v>UN</v>
          </cell>
          <cell r="D1673">
            <v>25.594999999999999</v>
          </cell>
        </row>
        <row r="1674">
          <cell r="A1674" t="str">
            <v>001.25.01780</v>
          </cell>
          <cell r="B1674" t="str">
            <v>União de pvc rígido para tubo soldável 50mm ( 1 1/2 pol )</v>
          </cell>
          <cell r="C1674" t="str">
            <v>UN</v>
          </cell>
          <cell r="D1674">
            <v>12.895</v>
          </cell>
        </row>
        <row r="1675">
          <cell r="A1675" t="str">
            <v>001.25.01800</v>
          </cell>
          <cell r="B1675" t="str">
            <v>União de pvc rígido para tubo soldável 40mm ( 1 1/4 pol )</v>
          </cell>
          <cell r="C1675" t="str">
            <v>UN</v>
          </cell>
          <cell r="D1675">
            <v>13.365</v>
          </cell>
        </row>
        <row r="1676">
          <cell r="A1676" t="str">
            <v>001.25.01820</v>
          </cell>
          <cell r="B1676" t="str">
            <v>União de pvc rígido para tubo soldável 32mm ( 1 pol )</v>
          </cell>
          <cell r="C1676" t="str">
            <v>UN</v>
          </cell>
          <cell r="D1676">
            <v>6.5201000000000002</v>
          </cell>
        </row>
        <row r="1677">
          <cell r="A1677" t="str">
            <v>001.25.01840</v>
          </cell>
          <cell r="B1677" t="str">
            <v>União de pvc rígido para tubo soldável 25mm ( 3/4 pol )</v>
          </cell>
          <cell r="C1677" t="str">
            <v>UN</v>
          </cell>
          <cell r="D1677">
            <v>3.4801000000000002</v>
          </cell>
        </row>
        <row r="1678">
          <cell r="A1678" t="str">
            <v>001.25.01860</v>
          </cell>
          <cell r="B1678" t="str">
            <v>União de pvc rígido para tubo soldável 20mm ( 1/2 pol )</v>
          </cell>
          <cell r="C1678" t="str">
            <v>UN</v>
          </cell>
          <cell r="D1678">
            <v>3.2201</v>
          </cell>
        </row>
        <row r="1679">
          <cell r="A1679" t="str">
            <v>001.25.01880</v>
          </cell>
          <cell r="B1679" t="str">
            <v>Redução pvc soldável de pvc rígido para tubo soldável 110mm x 85mm (4 x 3 pol)</v>
          </cell>
          <cell r="C1679" t="str">
            <v>UN</v>
          </cell>
          <cell r="D1679">
            <v>21.9651</v>
          </cell>
        </row>
        <row r="1680">
          <cell r="A1680" t="str">
            <v>001.25.01900</v>
          </cell>
          <cell r="B1680" t="str">
            <v>Reduçao pvc soldável de pvc rígido para tubo soldável 110mm x 75mm (4 x 2.5 pol)</v>
          </cell>
          <cell r="C1680" t="str">
            <v>UN</v>
          </cell>
          <cell r="D1680">
            <v>19.985099999999999</v>
          </cell>
        </row>
        <row r="1681">
          <cell r="A1681" t="str">
            <v>001.25.01920</v>
          </cell>
          <cell r="B1681" t="str">
            <v>Redução pvc soldável de pvc rígido para tubo soldável 110mm x60mm (4 x 2 pol)</v>
          </cell>
          <cell r="C1681" t="str">
            <v>UN</v>
          </cell>
          <cell r="D1681">
            <v>19.1051</v>
          </cell>
        </row>
        <row r="1682">
          <cell r="A1682" t="str">
            <v>001.25.01940</v>
          </cell>
          <cell r="B1682" t="str">
            <v>Redução pvc soldável de pvc rígido para tubo soldável 85mm x 75mm (3 x 2.5 pol)</v>
          </cell>
          <cell r="C1682" t="str">
            <v>UN</v>
          </cell>
          <cell r="D1682">
            <v>12.3</v>
          </cell>
        </row>
        <row r="1683">
          <cell r="A1683" t="str">
            <v>001.25.01960</v>
          </cell>
          <cell r="B1683" t="str">
            <v>Redução pvc soldável de pvc rígido para tubo soldável 85mm x 60mm (3 x 2 pol)</v>
          </cell>
          <cell r="C1683" t="str">
            <v>UN</v>
          </cell>
          <cell r="D1683">
            <v>11.32</v>
          </cell>
        </row>
        <row r="1684">
          <cell r="A1684" t="str">
            <v>001.25.01980</v>
          </cell>
          <cell r="B1684" t="str">
            <v>Redução pvc soldável de pvc rígido para tubo soldável 75mm x 60mm (2.5 x 2 pol)</v>
          </cell>
          <cell r="C1684" t="str">
            <v>UN</v>
          </cell>
          <cell r="D1684">
            <v>8.7100000000000009</v>
          </cell>
        </row>
        <row r="1685">
          <cell r="A1685" t="str">
            <v>001.25.02000</v>
          </cell>
          <cell r="B1685" t="str">
            <v>Redução pvc soldável de pvc rígido para tubo soldável 60mm x 50mm (2 x 1.5 pol)</v>
          </cell>
          <cell r="C1685" t="str">
            <v>UN</v>
          </cell>
          <cell r="D1685">
            <v>4.74</v>
          </cell>
        </row>
        <row r="1686">
          <cell r="A1686" t="str">
            <v>001.25.02020</v>
          </cell>
          <cell r="B1686" t="str">
            <v>Redução pvc soldável de pvc rígido para tubo soldável 40mm x 32mm (1 1/4 x 1 pol)</v>
          </cell>
          <cell r="C1686" t="str">
            <v>UN</v>
          </cell>
          <cell r="D1686">
            <v>2.665</v>
          </cell>
        </row>
        <row r="1687">
          <cell r="A1687" t="str">
            <v>001.25.02040</v>
          </cell>
          <cell r="B1687" t="str">
            <v>Redução pvc soldável de pvc rígido para tubo soldável 32mm x 25mm (1 x 3/4 pol)</v>
          </cell>
          <cell r="C1687" t="str">
            <v>UN</v>
          </cell>
          <cell r="D1687">
            <v>1.7601</v>
          </cell>
        </row>
        <row r="1688">
          <cell r="A1688" t="str">
            <v>001.25.02060</v>
          </cell>
          <cell r="B1688" t="str">
            <v>Redução pvc soldável de pvc rígido para tubo soldável 25mm x 20mm (3/4 x 1/2 pol)</v>
          </cell>
          <cell r="C1688" t="str">
            <v>UN</v>
          </cell>
          <cell r="D1688">
            <v>1.2000999999999999</v>
          </cell>
        </row>
        <row r="1689">
          <cell r="A1689" t="str">
            <v>001.25.02080</v>
          </cell>
          <cell r="B1689" t="str">
            <v>Adaptador soldável com bolsa e rosca para registro de pvc rígido para tubo soldável 110m x 4 pol</v>
          </cell>
          <cell r="C1689" t="str">
            <v>UN</v>
          </cell>
          <cell r="D1689">
            <v>22.995100000000001</v>
          </cell>
        </row>
        <row r="1690">
          <cell r="A1690" t="str">
            <v>001.25.02100</v>
          </cell>
          <cell r="B1690" t="str">
            <v>Adaptador soldável com bolsa e rosca para registro de pvc rígido para tubo soldável 85mm x 3 pol</v>
          </cell>
          <cell r="C1690" t="str">
            <v>UN</v>
          </cell>
          <cell r="D1690">
            <v>13.49</v>
          </cell>
        </row>
        <row r="1691">
          <cell r="A1691" t="str">
            <v>001.25.02120</v>
          </cell>
          <cell r="B1691" t="str">
            <v>Adaptador soldável com bolsa e rosca para registro de pvc rígido para tubo soldável 75mm x 2.5 pol</v>
          </cell>
          <cell r="C1691" t="str">
            <v>UN</v>
          </cell>
          <cell r="D1691">
            <v>12.05</v>
          </cell>
        </row>
        <row r="1692">
          <cell r="A1692" t="str">
            <v>001.25.02140</v>
          </cell>
          <cell r="B1692" t="str">
            <v>Adaptador soldável com bolsa e rosca para registro de pvc rígido para tubo soldável 60mm x 2 pol</v>
          </cell>
          <cell r="C1692" t="str">
            <v>UN</v>
          </cell>
          <cell r="D1692">
            <v>4.58</v>
          </cell>
        </row>
        <row r="1693">
          <cell r="A1693" t="str">
            <v>001.25.02160</v>
          </cell>
          <cell r="B1693" t="str">
            <v>Adaptador soldável com bolsa e rosca para registro de pvc rígido para tubo soldável 50mm x 1.5 pol</v>
          </cell>
          <cell r="C1693" t="str">
            <v>UN</v>
          </cell>
          <cell r="D1693">
            <v>2.395</v>
          </cell>
        </row>
        <row r="1694">
          <cell r="A1694" t="str">
            <v>001.25.02180</v>
          </cell>
          <cell r="B1694" t="str">
            <v>Adaptador soldável com bolsa e rosca para registro de pvc rígido para tubo soldável 50mm x 1.1/4 pol</v>
          </cell>
          <cell r="C1694" t="str">
            <v>UN</v>
          </cell>
          <cell r="D1694">
            <v>2.665</v>
          </cell>
        </row>
        <row r="1695">
          <cell r="A1695" t="str">
            <v>001.25.02200</v>
          </cell>
          <cell r="B1695" t="str">
            <v>Adaptador soldável com bolsa e rosca para registro de pvc rígido para tubo soldável 40mm x 1.5 pol.</v>
          </cell>
          <cell r="C1695" t="str">
            <v>UN</v>
          </cell>
          <cell r="D1695">
            <v>4.2149999999999999</v>
          </cell>
        </row>
        <row r="1696">
          <cell r="A1696" t="str">
            <v>001.25.02220</v>
          </cell>
          <cell r="B1696" t="str">
            <v>Adaptador soldável com bolsa e rosca para registro de pvc rígido para tubo soldável 40mm x 1.1/4 pol</v>
          </cell>
          <cell r="C1696" t="str">
            <v>UN</v>
          </cell>
          <cell r="D1696">
            <v>2.665</v>
          </cell>
        </row>
        <row r="1697">
          <cell r="A1697" t="str">
            <v>001.25.02240</v>
          </cell>
          <cell r="B1697" t="str">
            <v>Adaptador soldável com bolsa e rosca para registro de pvc rígido para tubo soldável 32mm x 1 pol</v>
          </cell>
          <cell r="C1697" t="str">
            <v>UN</v>
          </cell>
          <cell r="D1697">
            <v>1.4601</v>
          </cell>
        </row>
        <row r="1698">
          <cell r="A1698" t="str">
            <v>001.25.02260</v>
          </cell>
          <cell r="B1698" t="str">
            <v>Adaptador soldável com bolsa e rosca para registro de pvc rígido para tubo soldável 25mm x 3/4 pol</v>
          </cell>
          <cell r="C1698" t="str">
            <v>UN</v>
          </cell>
          <cell r="D1698">
            <v>0.96009999999999995</v>
          </cell>
        </row>
        <row r="1699">
          <cell r="A1699" t="str">
            <v>001.25.02280</v>
          </cell>
          <cell r="B1699" t="str">
            <v>Adaptador soldável com bolsa e rosca para registro de pvc rígido para tubo soldável 20mm x 1/2 pol</v>
          </cell>
          <cell r="C1699" t="str">
            <v>UN</v>
          </cell>
          <cell r="D1699">
            <v>0.98009999999999997</v>
          </cell>
        </row>
        <row r="1700">
          <cell r="A1700" t="str">
            <v>001.25.02300</v>
          </cell>
          <cell r="B1700" t="str">
            <v>Adaptador soldável com flanges de pvc rígido para tubo soldável para caixa de água 110mm x 4 pol</v>
          </cell>
          <cell r="C1700" t="str">
            <v>UN</v>
          </cell>
          <cell r="D1700">
            <v>152.76089999999999</v>
          </cell>
        </row>
        <row r="1701">
          <cell r="A1701" t="str">
            <v>001.25.02320</v>
          </cell>
          <cell r="B1701" t="str">
            <v>Adaptador soldável com flanges de pvc rígido para tubo soldável para caixa de água  85mm x 3 pol</v>
          </cell>
          <cell r="C1701" t="str">
            <v>UN</v>
          </cell>
          <cell r="D1701">
            <v>99.639899999999997</v>
          </cell>
        </row>
        <row r="1702">
          <cell r="A1702" t="str">
            <v>001.25.02340</v>
          </cell>
          <cell r="B1702" t="str">
            <v>Adaptador soldável com flantes de pvc rígido para tubo soldável para caixa de água 75mm x 2.5 pol</v>
          </cell>
          <cell r="C1702" t="str">
            <v>UN</v>
          </cell>
          <cell r="D1702">
            <v>77.639899999999997</v>
          </cell>
        </row>
        <row r="1703">
          <cell r="A1703" t="str">
            <v>001.25.02360</v>
          </cell>
          <cell r="B1703" t="str">
            <v>Adaptador soldável com flanges de pvc rígido para tubo soldável para caixa de água 60mm x 2 pol</v>
          </cell>
          <cell r="C1703" t="str">
            <v>UN</v>
          </cell>
          <cell r="D1703">
            <v>26.187899999999999</v>
          </cell>
        </row>
        <row r="1704">
          <cell r="A1704" t="str">
            <v>001.25.02380</v>
          </cell>
          <cell r="B1704" t="str">
            <v>Adaptador soldável com flanges de pvc rígido para tubo soldável para caixa de água 50mm x 1.5 pol</v>
          </cell>
          <cell r="C1704" t="str">
            <v>UN</v>
          </cell>
          <cell r="D1704">
            <v>19.977900000000002</v>
          </cell>
        </row>
        <row r="1705">
          <cell r="A1705" t="str">
            <v>001.25.02400</v>
          </cell>
          <cell r="B1705" t="str">
            <v>Adaptador soldável com flanges de pvc rígido para tubo soldável para caixa de água 40mm x 1.1/4 pol</v>
          </cell>
          <cell r="C1705" t="str">
            <v>UN</v>
          </cell>
          <cell r="D1705">
            <v>15.1831</v>
          </cell>
        </row>
        <row r="1706">
          <cell r="A1706" t="str">
            <v>001.25.02420</v>
          </cell>
          <cell r="B1706" t="str">
            <v>Adaptador soldável com flanges de pvc rígido para tubo soldável para caixa de água 32mm x 1 pol</v>
          </cell>
          <cell r="C1706" t="str">
            <v>UN</v>
          </cell>
          <cell r="D1706">
            <v>13.752700000000001</v>
          </cell>
        </row>
        <row r="1707">
          <cell r="A1707" t="str">
            <v>001.25.02440</v>
          </cell>
          <cell r="B1707" t="str">
            <v>Adaptador soldável com flanges de pvc rígido para tubo soldável para caixa de água 25mm x 3/4</v>
          </cell>
          <cell r="C1707" t="str">
            <v>UN</v>
          </cell>
          <cell r="D1707">
            <v>10.0627</v>
          </cell>
        </row>
        <row r="1708">
          <cell r="A1708" t="str">
            <v>001.25.02460</v>
          </cell>
          <cell r="B1708" t="str">
            <v>Adaptador soldável com flanges de pvc rígido para tubo soldável para caixa de água 20mm x 1/2 pol</v>
          </cell>
          <cell r="C1708" t="str">
            <v>UN</v>
          </cell>
          <cell r="D1708">
            <v>8.4726999999999997</v>
          </cell>
        </row>
        <row r="1709">
          <cell r="A1709" t="str">
            <v>001.25.02480</v>
          </cell>
          <cell r="B1709" t="str">
            <v>Bucha de redução longa de pvc rígido para tubo soldável 110 x 75 mm ( 4 x 2.1/2 pol)</v>
          </cell>
          <cell r="C1709" t="str">
            <v>UN</v>
          </cell>
          <cell r="D1709">
            <v>21.585100000000001</v>
          </cell>
        </row>
        <row r="1710">
          <cell r="A1710" t="str">
            <v>001.25.02500</v>
          </cell>
          <cell r="B1710" t="str">
            <v>Bucha de redução longa de pvc rígido para tubo soldável 110 x 60 mm ( 4 x 2 pol)</v>
          </cell>
          <cell r="C1710" t="str">
            <v>UN</v>
          </cell>
          <cell r="D1710">
            <v>12.585100000000001</v>
          </cell>
        </row>
        <row r="1711">
          <cell r="A1711" t="str">
            <v>001.25.02520</v>
          </cell>
          <cell r="B1711" t="str">
            <v>Bucha de redução longa de pvc rígido para tubo soldável 85 x 60 mm (3 x 2 pol)</v>
          </cell>
          <cell r="C1711" t="str">
            <v>UN</v>
          </cell>
          <cell r="D1711">
            <v>6.36</v>
          </cell>
        </row>
        <row r="1712">
          <cell r="A1712" t="str">
            <v>001.25.02540</v>
          </cell>
          <cell r="B1712" t="str">
            <v>Bucha de redução longa de pvc rígido para tubo soldável 75 x 50 mm ( 2.1/2 x 1.1/2 pol)</v>
          </cell>
          <cell r="C1712" t="str">
            <v>UN</v>
          </cell>
          <cell r="D1712">
            <v>5.97</v>
          </cell>
        </row>
        <row r="1713">
          <cell r="A1713" t="str">
            <v>001.25.02560</v>
          </cell>
          <cell r="B1713" t="str">
            <v>Bucha de redução longa de pvc rígido para tubo soldável 60 x 50 mm (2 x 1.1/2 pol)</v>
          </cell>
          <cell r="C1713" t="str">
            <v>UN</v>
          </cell>
          <cell r="D1713">
            <v>5.64</v>
          </cell>
        </row>
        <row r="1714">
          <cell r="A1714" t="str">
            <v>001.25.02580</v>
          </cell>
          <cell r="B1714" t="str">
            <v>Bucha de redução longa de pvc rígido para tubo soldável 60 x 40 mm (2 x 1.1/4 pol)</v>
          </cell>
          <cell r="C1714" t="str">
            <v>UN</v>
          </cell>
          <cell r="D1714">
            <v>4.5250000000000004</v>
          </cell>
        </row>
        <row r="1715">
          <cell r="A1715" t="str">
            <v>001.25.02600</v>
          </cell>
          <cell r="B1715" t="str">
            <v>Bucha de redução longa de pvc rígido para tubo soldável 60 x 32 mm (2 x 1 pol)</v>
          </cell>
          <cell r="C1715" t="str">
            <v>UN</v>
          </cell>
          <cell r="D1715">
            <v>5.35</v>
          </cell>
        </row>
        <row r="1716">
          <cell r="A1716" t="str">
            <v>001.25.02620</v>
          </cell>
          <cell r="B1716" t="str">
            <v>Bucha de redução longa de pvc rígido para tubo soldável 60 x 25 mm ( 2 x 3/4 pol)</v>
          </cell>
          <cell r="C1716" t="str">
            <v>UN</v>
          </cell>
          <cell r="D1716">
            <v>1.81</v>
          </cell>
        </row>
        <row r="1717">
          <cell r="A1717" t="str">
            <v>001.25.02640</v>
          </cell>
          <cell r="B1717" t="str">
            <v>Bucha de redução longa de pvc rígido para tubo soldável 50 x 32 mm ( 1.1/2 x 1 pol)</v>
          </cell>
          <cell r="C1717" t="str">
            <v>UN</v>
          </cell>
          <cell r="D1717">
            <v>2.8849999999999998</v>
          </cell>
        </row>
        <row r="1718">
          <cell r="A1718" t="str">
            <v>001.25.02660</v>
          </cell>
          <cell r="B1718" t="str">
            <v>Bucha de redução longa de pvc rígido para tubo soldável 50 x 25 mm ( 1.1/2 x 3.4 pol)</v>
          </cell>
          <cell r="C1718" t="str">
            <v>UN</v>
          </cell>
          <cell r="D1718">
            <v>2.5550000000000002</v>
          </cell>
        </row>
        <row r="1719">
          <cell r="A1719" t="str">
            <v>001.25.02680</v>
          </cell>
          <cell r="B1719" t="str">
            <v>Bucha de redução longa de pvc rígido para tubo soldável 50 x 20 mm ( 1.1/2 x 1/2 pol)</v>
          </cell>
          <cell r="C1719" t="str">
            <v>UN</v>
          </cell>
          <cell r="D1719">
            <v>2.335</v>
          </cell>
        </row>
        <row r="1720">
          <cell r="A1720" t="str">
            <v>001.25.02700</v>
          </cell>
          <cell r="B1720" t="str">
            <v>Bucha de redução longa de pvc rígido para tubo soldável 40 x 25 mm ( 1.1/4 x 3/4 pol)</v>
          </cell>
          <cell r="C1720" t="str">
            <v>UN</v>
          </cell>
          <cell r="D1720">
            <v>2.605</v>
          </cell>
        </row>
        <row r="1721">
          <cell r="A1721" t="str">
            <v>001.25.02720</v>
          </cell>
          <cell r="B1721" t="str">
            <v>Bucha de redução longa de pvc rígido para tubo soldável 40 x 20 mm (1.1/4 x 1/2 pol)</v>
          </cell>
          <cell r="C1721" t="str">
            <v>UN</v>
          </cell>
          <cell r="D1721">
            <v>2.165</v>
          </cell>
        </row>
        <row r="1722">
          <cell r="A1722" t="str">
            <v>001.25.02740</v>
          </cell>
          <cell r="B1722" t="str">
            <v>Bucha de redução longa de pvc rígido para tubo soldável 32 x 20 mm (1 x 1/2 pol)</v>
          </cell>
          <cell r="C1722" t="str">
            <v>UN</v>
          </cell>
          <cell r="D1722">
            <v>1.6500999999999999</v>
          </cell>
        </row>
        <row r="1723">
          <cell r="A1723" t="str">
            <v>001.25.02760</v>
          </cell>
          <cell r="B1723" t="str">
            <v>Cap de pvc rígido para tubo soldável 50 mm ( 1.1/2 pol)</v>
          </cell>
          <cell r="C1723" t="str">
            <v>UN</v>
          </cell>
          <cell r="D1723">
            <v>3.3125</v>
          </cell>
        </row>
        <row r="1724">
          <cell r="A1724" t="str">
            <v>001.25.02780</v>
          </cell>
          <cell r="B1724" t="str">
            <v>Cap de pvc rígido para tubo soldável 40 mm (1.1/4 pol)</v>
          </cell>
          <cell r="C1724" t="str">
            <v>UN</v>
          </cell>
          <cell r="D1724">
            <v>1.9125000000000001</v>
          </cell>
        </row>
        <row r="1725">
          <cell r="A1725" t="str">
            <v>001.25.02800</v>
          </cell>
          <cell r="B1725" t="str">
            <v>Cap de pvc rígido para tubo soldável 32 mm (1 pol)</v>
          </cell>
          <cell r="C1725" t="str">
            <v>UN</v>
          </cell>
          <cell r="D1725">
            <v>1.0349999999999999</v>
          </cell>
        </row>
        <row r="1726">
          <cell r="A1726" t="str">
            <v>001.25.02820</v>
          </cell>
          <cell r="B1726" t="str">
            <v>Cap de pvc rígido para tubo soldável 25 mm (3/4 pol)</v>
          </cell>
          <cell r="C1726" t="str">
            <v>UN</v>
          </cell>
          <cell r="D1726">
            <v>1.0349999999999999</v>
          </cell>
        </row>
        <row r="1727">
          <cell r="A1727" t="str">
            <v>001.25.02840</v>
          </cell>
          <cell r="B1727" t="str">
            <v>Cap de pvc rígido para tubo soldável 20 mm (1/2 pol)</v>
          </cell>
          <cell r="C1727" t="str">
            <v>UN</v>
          </cell>
          <cell r="D1727">
            <v>0.89500000000000002</v>
          </cell>
        </row>
        <row r="1728">
          <cell r="A1728" t="str">
            <v>001.25.02860</v>
          </cell>
          <cell r="B1728" t="str">
            <v>Joelho 90º soldável/rosqueável  32mm x 1 pol</v>
          </cell>
          <cell r="C1728" t="str">
            <v>UN</v>
          </cell>
          <cell r="D1728">
            <v>3.0101</v>
          </cell>
        </row>
        <row r="1729">
          <cell r="A1729" t="str">
            <v>001.25.02880</v>
          </cell>
          <cell r="B1729" t="str">
            <v>Joelho 90º soldável/rosqueável 25mm x 3/4 pol</v>
          </cell>
          <cell r="C1729" t="str">
            <v>UN</v>
          </cell>
          <cell r="D1729">
            <v>2.1501000000000001</v>
          </cell>
        </row>
        <row r="1730">
          <cell r="A1730" t="str">
            <v>001.25.02900</v>
          </cell>
          <cell r="B1730" t="str">
            <v>Joelho 90º soldável/rosqueável  20mm x 1/2 pol</v>
          </cell>
          <cell r="C1730" t="str">
            <v>UN</v>
          </cell>
          <cell r="D1730">
            <v>1.5301</v>
          </cell>
        </row>
        <row r="1731">
          <cell r="A1731" t="str">
            <v>001.25.02920</v>
          </cell>
          <cell r="B1731" t="str">
            <v>Joelho de redução 90º soldável/rosqueável 32mm x 3/4 pol</v>
          </cell>
          <cell r="C1731" t="str">
            <v>UN</v>
          </cell>
          <cell r="D1731">
            <v>1.4701</v>
          </cell>
        </row>
        <row r="1732">
          <cell r="A1732" t="str">
            <v>001.25.02940</v>
          </cell>
          <cell r="B1732" t="str">
            <v>Joelho de redução 90º soldável/rosqueável 25mm x 1/2 pol</v>
          </cell>
          <cell r="C1732" t="str">
            <v>UN</v>
          </cell>
          <cell r="D1732">
            <v>1.5201</v>
          </cell>
        </row>
        <row r="1733">
          <cell r="A1733" t="str">
            <v>001.25.02960</v>
          </cell>
          <cell r="B1733" t="str">
            <v>Luva simples soldável/rosqueável 50mm x 1.5 pol</v>
          </cell>
          <cell r="C1733" t="str">
            <v>UN</v>
          </cell>
          <cell r="D1733">
            <v>12.565</v>
          </cell>
        </row>
        <row r="1734">
          <cell r="A1734" t="str">
            <v>001.25.02980</v>
          </cell>
          <cell r="B1734" t="str">
            <v>Luva simples soldável/rosqueável 40mm x 1.1/4 pol</v>
          </cell>
          <cell r="C1734" t="str">
            <v>UN</v>
          </cell>
          <cell r="D1734">
            <v>5.4649999999999999</v>
          </cell>
        </row>
        <row r="1735">
          <cell r="A1735" t="str">
            <v>001.25.03000</v>
          </cell>
          <cell r="B1735" t="str">
            <v>Luva simples soldável/rosqueável 32mm x 1 pol</v>
          </cell>
          <cell r="C1735" t="str">
            <v>UN</v>
          </cell>
          <cell r="D1735">
            <v>2.6200999999999999</v>
          </cell>
        </row>
        <row r="1736">
          <cell r="A1736" t="str">
            <v>001.25.03020</v>
          </cell>
          <cell r="B1736" t="str">
            <v>Luva simples soldável/rosqueável 25mm x 3/4 pol</v>
          </cell>
          <cell r="C1736" t="str">
            <v>UN</v>
          </cell>
          <cell r="D1736">
            <v>1.4100999999999999</v>
          </cell>
        </row>
        <row r="1737">
          <cell r="A1737" t="str">
            <v>001.25.03040</v>
          </cell>
          <cell r="B1737" t="str">
            <v>Luva simples soldável/rosqueável 20mm x 1/2 pol</v>
          </cell>
          <cell r="C1737" t="str">
            <v>UN</v>
          </cell>
          <cell r="D1737">
            <v>1.7401</v>
          </cell>
        </row>
        <row r="1738">
          <cell r="A1738" t="str">
            <v>001.25.03060</v>
          </cell>
          <cell r="B1738" t="str">
            <v>Luva de redução soldável/rosqueável 25mm x 1/2 pol</v>
          </cell>
          <cell r="C1738" t="str">
            <v>UN</v>
          </cell>
          <cell r="D1738">
            <v>1.5201</v>
          </cell>
        </row>
        <row r="1739">
          <cell r="A1739" t="str">
            <v>001.25.03080</v>
          </cell>
          <cell r="B1739" t="str">
            <v>Tee 90º com rosca na bolsa central soldável/rosqueável 32mm x 32mm x 1 pol</v>
          </cell>
          <cell r="C1739" t="str">
            <v>UN</v>
          </cell>
          <cell r="D1739">
            <v>2.9449999999999998</v>
          </cell>
        </row>
        <row r="1740">
          <cell r="A1740" t="str">
            <v>001.25.03100</v>
          </cell>
          <cell r="B1740" t="str">
            <v>Tee 90º com rosca na bolsa central soldável/rosqueável 25mm x 25mm 3/4 pol</v>
          </cell>
          <cell r="C1740" t="str">
            <v>UN</v>
          </cell>
          <cell r="D1740">
            <v>4.0250000000000004</v>
          </cell>
        </row>
        <row r="1741">
          <cell r="A1741" t="str">
            <v>001.25.03120</v>
          </cell>
          <cell r="B1741" t="str">
            <v>Tee 90º com rosca na bolsa central soldável/rosqueável 20mm x 20mm x 1/2 pol</v>
          </cell>
          <cell r="C1741" t="str">
            <v>UN</v>
          </cell>
          <cell r="D1741">
            <v>4.1500000000000004</v>
          </cell>
        </row>
        <row r="1742">
          <cell r="A1742" t="str">
            <v>001.25.03140</v>
          </cell>
          <cell r="B1742" t="str">
            <v>Tee 90º com rosca na bolsa central sodável/rosqueável 32mm x 32mm x 3/4 pol</v>
          </cell>
          <cell r="C1742" t="str">
            <v>UN</v>
          </cell>
          <cell r="D1742">
            <v>5.1950000000000003</v>
          </cell>
        </row>
        <row r="1743">
          <cell r="A1743" t="str">
            <v>001.25.03160</v>
          </cell>
          <cell r="B1743" t="str">
            <v>Tee 90º com rosca na bolsa central soldável/rosqueável 25mm x 25mm x 1/2 pol</v>
          </cell>
          <cell r="C1743" t="str">
            <v>UN</v>
          </cell>
          <cell r="D1743">
            <v>2.7149999999999999</v>
          </cell>
        </row>
        <row r="1744">
          <cell r="A1744" t="str">
            <v>001.25.03180</v>
          </cell>
          <cell r="B1744" t="str">
            <v>Joelho 90º soldável com bucha de latão 25mm x 3/4 pol</v>
          </cell>
          <cell r="C1744" t="str">
            <v>UN</v>
          </cell>
          <cell r="D1744">
            <v>5.0050999999999997</v>
          </cell>
        </row>
        <row r="1745">
          <cell r="A1745" t="str">
            <v>001.25.03200</v>
          </cell>
          <cell r="B1745" t="str">
            <v>Joelho 90º soldável com bucha de latão 20mm x 1/2 pol</v>
          </cell>
          <cell r="C1745" t="str">
            <v>UN</v>
          </cell>
          <cell r="D1745">
            <v>3.7850999999999999</v>
          </cell>
        </row>
        <row r="1746">
          <cell r="A1746" t="str">
            <v>001.25.03220</v>
          </cell>
          <cell r="B1746" t="str">
            <v>Joelho de redução 90º soldável com bucha de latão 32mm x 3/4 pol</v>
          </cell>
          <cell r="C1746" t="str">
            <v>UN</v>
          </cell>
          <cell r="D1746">
            <v>2.6551</v>
          </cell>
        </row>
        <row r="1747">
          <cell r="A1747" t="str">
            <v>001.25.03240</v>
          </cell>
          <cell r="B1747" t="str">
            <v>Joelho de redução 90º soldável com bucha de latão 25mm x 1/2 pol</v>
          </cell>
          <cell r="C1747" t="str">
            <v>UN</v>
          </cell>
          <cell r="D1747">
            <v>3.5550999999999999</v>
          </cell>
        </row>
        <row r="1748">
          <cell r="A1748" t="str">
            <v>001.25.03260</v>
          </cell>
          <cell r="B1748" t="str">
            <v>Luva simples soldável com bucha de latão 25mm x 3/4 pol</v>
          </cell>
          <cell r="C1748" t="str">
            <v>UN</v>
          </cell>
          <cell r="D1748">
            <v>4.5750999999999999</v>
          </cell>
        </row>
        <row r="1749">
          <cell r="A1749" t="str">
            <v>001.25.03280</v>
          </cell>
          <cell r="B1749" t="str">
            <v>Luva simples soldável com bucha de latão 20mm x 1/2 pol</v>
          </cell>
          <cell r="C1749" t="str">
            <v>UN</v>
          </cell>
          <cell r="D1749">
            <v>3.9651000000000001</v>
          </cell>
        </row>
        <row r="1750">
          <cell r="A1750" t="str">
            <v>001.25.03300</v>
          </cell>
          <cell r="B1750" t="str">
            <v>Luva de redução soldável com bucha de latão 25mm x 1/2 pol</v>
          </cell>
          <cell r="C1750" t="str">
            <v>UN</v>
          </cell>
          <cell r="D1750">
            <v>4.1750999999999996</v>
          </cell>
        </row>
        <row r="1751">
          <cell r="A1751" t="str">
            <v>001.25.03320</v>
          </cell>
          <cell r="B1751" t="str">
            <v>Tee 90º com bucha de latão central 25mm x 25mm x 3/4 pol</v>
          </cell>
          <cell r="C1751" t="str">
            <v>UN</v>
          </cell>
          <cell r="D1751">
            <v>4.7751000000000001</v>
          </cell>
        </row>
        <row r="1752">
          <cell r="A1752" t="str">
            <v>001.25.03340</v>
          </cell>
          <cell r="B1752" t="str">
            <v>Tee 90º com bucha de latão central 20mm x 20mm x 1/2 pol</v>
          </cell>
          <cell r="C1752" t="str">
            <v>UN</v>
          </cell>
          <cell r="D1752">
            <v>4.2651000000000003</v>
          </cell>
        </row>
        <row r="1753">
          <cell r="A1753" t="str">
            <v>001.25.03360</v>
          </cell>
          <cell r="B1753" t="str">
            <v>Tee redução 90º com bucha de latão na bolsa central 32mm x 32mm x 3/4 pol</v>
          </cell>
          <cell r="C1753" t="str">
            <v>UN</v>
          </cell>
          <cell r="D1753">
            <v>5.9451000000000001</v>
          </cell>
        </row>
        <row r="1754">
          <cell r="A1754" t="str">
            <v>001.25.03380</v>
          </cell>
          <cell r="B1754" t="str">
            <v>Tee reduçao 90º com bucha de latão na bolsa central 25mm x 25mm 1/2 pol</v>
          </cell>
          <cell r="C1754" t="str">
            <v>UN</v>
          </cell>
          <cell r="D1754">
            <v>3.4651000000000001</v>
          </cell>
        </row>
        <row r="1755">
          <cell r="A1755" t="str">
            <v>001.25.03400</v>
          </cell>
          <cell r="B1755" t="str">
            <v>Adaptador com rosca e flange para caixa de água de pvc inclusive assentamento 2 pol</v>
          </cell>
          <cell r="C1755" t="str">
            <v>UN</v>
          </cell>
          <cell r="D1755">
            <v>10.387700000000001</v>
          </cell>
        </row>
        <row r="1756">
          <cell r="A1756" t="str">
            <v>001.25.03420</v>
          </cell>
          <cell r="B1756" t="str">
            <v>Adaptador com rosca e flange para caixa de água de pvc inclusive assentamento 1 pol</v>
          </cell>
          <cell r="C1756" t="str">
            <v>UN</v>
          </cell>
          <cell r="D1756">
            <v>8.5825999999999993</v>
          </cell>
        </row>
        <row r="1757">
          <cell r="A1757" t="str">
            <v>001.25.03440</v>
          </cell>
          <cell r="B1757" t="str">
            <v>Adaptador com rosca e flange para caixa de água de pvc inclusive assentamento 3/4 pol</v>
          </cell>
          <cell r="C1757" t="str">
            <v>UN</v>
          </cell>
          <cell r="D1757">
            <v>6.7725999999999997</v>
          </cell>
        </row>
        <row r="1758">
          <cell r="A1758" t="str">
            <v>001.25.03460</v>
          </cell>
          <cell r="B1758" t="str">
            <v>Adaptador com rosca e flange para caixa de água de pvc inclusive assentamento 1/2 pol</v>
          </cell>
          <cell r="C1758" t="str">
            <v>UN</v>
          </cell>
          <cell r="D1758">
            <v>6.7725999999999997</v>
          </cell>
        </row>
        <row r="1759">
          <cell r="A1759" t="str">
            <v>001.25.03480</v>
          </cell>
          <cell r="B1759" t="str">
            <v>Adaptador com rosca e flange para caixa de água de pvc inclusive assentamento 3 pol</v>
          </cell>
          <cell r="C1759" t="str">
            <v>UN</v>
          </cell>
          <cell r="D1759">
            <v>57.185200000000002</v>
          </cell>
        </row>
        <row r="1760">
          <cell r="A1760" t="str">
            <v>001.25.03500</v>
          </cell>
          <cell r="B1760" t="str">
            <v>Plug ou bujão de 2"", de pvc rígido, para tubos de pvc rosqueável</v>
          </cell>
          <cell r="C1760" t="str">
            <v>UN</v>
          </cell>
          <cell r="D1760">
            <v>2.6625000000000001</v>
          </cell>
        </row>
        <row r="1761">
          <cell r="A1761" t="str">
            <v>001.25.03520</v>
          </cell>
          <cell r="B1761" t="str">
            <v>Plug ou bujão de 1 1/2"", de pvc rígido, para tubos de pvc rosqueável</v>
          </cell>
          <cell r="C1761" t="str">
            <v>UN</v>
          </cell>
          <cell r="D1761">
            <v>2.2524999999999999</v>
          </cell>
        </row>
        <row r="1762">
          <cell r="A1762" t="str">
            <v>001.25.03540</v>
          </cell>
          <cell r="B1762" t="str">
            <v>Plug ou bujão de 1 1/4"", de pvc rígido, para tubos de pvc rosqueável</v>
          </cell>
          <cell r="C1762" t="str">
            <v>UN</v>
          </cell>
          <cell r="D1762">
            <v>1.2625</v>
          </cell>
        </row>
        <row r="1763">
          <cell r="A1763" t="str">
            <v>001.25.03560</v>
          </cell>
          <cell r="B1763" t="str">
            <v>Plug ou bujão de 1"", de pvc rígido, para tubos de pvc rosqueável</v>
          </cell>
          <cell r="C1763" t="str">
            <v>UN</v>
          </cell>
          <cell r="D1763">
            <v>0.85499999999999998</v>
          </cell>
        </row>
        <row r="1764">
          <cell r="A1764" t="str">
            <v>001.25.03580</v>
          </cell>
          <cell r="B1764" t="str">
            <v>Plug ou bujão de 3/4"", de pvc rígido, para tubos de pvc rosqueável</v>
          </cell>
          <cell r="C1764" t="str">
            <v>UN</v>
          </cell>
          <cell r="D1764">
            <v>0.63900000000000001</v>
          </cell>
        </row>
        <row r="1765">
          <cell r="A1765" t="str">
            <v>001.25.03600</v>
          </cell>
          <cell r="B1765" t="str">
            <v>Plug ou bujão de 1/2"", de pvc rígido, para tubos de pvc rosqueável</v>
          </cell>
          <cell r="C1765" t="str">
            <v>UN</v>
          </cell>
          <cell r="D1765">
            <v>0.55500000000000005</v>
          </cell>
        </row>
        <row r="1766">
          <cell r="A1766" t="str">
            <v>001.25.03620</v>
          </cell>
          <cell r="B1766" t="str">
            <v>Fornecimento e instalação de mangueira marron de pvc para água de 3/4""x2,5 mm de espessura</v>
          </cell>
          <cell r="C1766" t="str">
            <v>ML</v>
          </cell>
          <cell r="D1766">
            <v>0.8367</v>
          </cell>
        </row>
        <row r="1767">
          <cell r="A1767" t="str">
            <v>001.25.03640</v>
          </cell>
          <cell r="B1767" t="str">
            <v>Fornecimento e instalação de mangueira marron de pvc para água de  1""x3,0 mm de espessura</v>
          </cell>
          <cell r="C1767" t="str">
            <v>ML</v>
          </cell>
          <cell r="D1767">
            <v>1.0891999999999999</v>
          </cell>
        </row>
        <row r="1768">
          <cell r="A1768" t="str">
            <v>001.25.03660</v>
          </cell>
          <cell r="B1768" t="str">
            <v>Fornecimento e instalação de joelho de polietileno - 3/4"" para mangueira de polietileno ou pvc marron</v>
          </cell>
          <cell r="C1768" t="str">
            <v>UN</v>
          </cell>
          <cell r="D1768">
            <v>1.2501</v>
          </cell>
        </row>
        <row r="1769">
          <cell r="A1769" t="str">
            <v>001.25.03680</v>
          </cell>
          <cell r="B1769" t="str">
            <v>Fornecimento e instalação de joelho de polietileno  - 1"" para mangueira de polietileno ou pvc marron</v>
          </cell>
          <cell r="C1769" t="str">
            <v>UN</v>
          </cell>
          <cell r="D1769">
            <v>1.7000999999999999</v>
          </cell>
        </row>
        <row r="1770">
          <cell r="A1770" t="str">
            <v>001.25.03700</v>
          </cell>
          <cell r="B1770" t="str">
            <v>Fornecimento e instalação de tee de polietileno - 3/4"" para mangueira de polietileno ou pvc marron</v>
          </cell>
          <cell r="C1770" t="str">
            <v>UN</v>
          </cell>
          <cell r="D1770">
            <v>1.9750000000000001</v>
          </cell>
        </row>
        <row r="1771">
          <cell r="A1771" t="str">
            <v>001.25.03720</v>
          </cell>
          <cell r="B1771" t="str">
            <v>Fornecimento e instalação de tee de polietileno  1""- para mangueira de polietileno ou pvc marron</v>
          </cell>
          <cell r="C1771" t="str">
            <v>UN</v>
          </cell>
          <cell r="D1771">
            <v>3.0501</v>
          </cell>
        </row>
        <row r="1772">
          <cell r="A1772" t="str">
            <v>001.25.03740</v>
          </cell>
          <cell r="B1772" t="str">
            <v>Fornecimento e instalação de uniao de polietileno - 3/4""- para mangueira de polietileno ou pvc marron</v>
          </cell>
          <cell r="C1772" t="str">
            <v>UN</v>
          </cell>
          <cell r="D1772">
            <v>1.4500999999999999</v>
          </cell>
        </row>
        <row r="1773">
          <cell r="A1773" t="str">
            <v>001.25.03760</v>
          </cell>
          <cell r="B1773" t="str">
            <v>Fornecimento e instalação de união de polietileno  - 1""-para mangueira de polietileno ou pvc marron</v>
          </cell>
          <cell r="C1773" t="str">
            <v>UN</v>
          </cell>
          <cell r="D1773">
            <v>1.8501000000000001</v>
          </cell>
        </row>
        <row r="1774">
          <cell r="A1774" t="str">
            <v>001.25.03780</v>
          </cell>
          <cell r="B1774" t="str">
            <v>Fornecimento e instalação de adaptador de polietileno  - 3/4""- para mangueira de polietileno ou pvc marron</v>
          </cell>
          <cell r="C1774" t="str">
            <v>UN</v>
          </cell>
          <cell r="D1774">
            <v>1.5501</v>
          </cell>
        </row>
        <row r="1775">
          <cell r="A1775" t="str">
            <v>001.25.03800</v>
          </cell>
          <cell r="B1775" t="str">
            <v>Fornecimento e instalação de adaptador de polietileno  - 1""- para mangueira de polietileno ou pvc marron</v>
          </cell>
          <cell r="C1775" t="str">
            <v>UN</v>
          </cell>
          <cell r="D1775">
            <v>1.7501</v>
          </cell>
        </row>
        <row r="1776">
          <cell r="A1776" t="str">
            <v>001.26</v>
          </cell>
          <cell r="B1776" t="str">
            <v>INSTALAÇÕES HIDRÁULICAS - TUBO GALVANIZADO</v>
          </cell>
          <cell r="D1776">
            <v>2510.4023999999999</v>
          </cell>
        </row>
        <row r="1777">
          <cell r="A1777" t="str">
            <v>001.26.00020</v>
          </cell>
          <cell r="B1777" t="str">
            <v>Fornecimento e Instalação de Tubo Ferro Galvanizado S/ Costura 4 Pol x  6.00 x 3.35mm</v>
          </cell>
          <cell r="C1777" t="str">
            <v>ML</v>
          </cell>
          <cell r="D1777">
            <v>87.686899999999994</v>
          </cell>
        </row>
        <row r="1778">
          <cell r="A1778" t="str">
            <v>001.26.00040</v>
          </cell>
          <cell r="B1778" t="str">
            <v>Fornecimento e Instalação de Tubo Ferro Galvanizado S/ Costura 3 Pol x  6.00 x 3.35mm</v>
          </cell>
          <cell r="C1778" t="str">
            <v>ML</v>
          </cell>
          <cell r="D1778">
            <v>61.173099999999998</v>
          </cell>
        </row>
        <row r="1779">
          <cell r="A1779" t="str">
            <v>001.26.00060</v>
          </cell>
          <cell r="B1779" t="str">
            <v>Fornecimento e Instalação de Tubo Ferro Galvanizado S/ Costura 2.5 Pol x  6.00 x 3.35mm</v>
          </cell>
          <cell r="C1779" t="str">
            <v>ML</v>
          </cell>
          <cell r="D1779">
            <v>51.073900000000002</v>
          </cell>
        </row>
        <row r="1780">
          <cell r="A1780" t="str">
            <v>001.26.00080</v>
          </cell>
          <cell r="B1780" t="str">
            <v>Fornecimento e Instalação de Tubo Ferro Galvanizado S/ Costura 2 Pol x  6.00 x 3.00mm</v>
          </cell>
          <cell r="C1780" t="str">
            <v>ML</v>
          </cell>
          <cell r="D1780">
            <v>36.705300000000001</v>
          </cell>
        </row>
        <row r="1781">
          <cell r="A1781" t="str">
            <v>001.26.00100</v>
          </cell>
          <cell r="B1781" t="str">
            <v>Fornecimento e Instalação de Tubo Ferro Galvanizado S/ Costura 1.5 Pol x  6.00 x 3.00mm</v>
          </cell>
          <cell r="C1781" t="str">
            <v>ML</v>
          </cell>
          <cell r="D1781">
            <v>28.337399999999999</v>
          </cell>
        </row>
        <row r="1782">
          <cell r="A1782" t="str">
            <v>001.26.00120</v>
          </cell>
          <cell r="B1782" t="str">
            <v>Fornecimento e Instalação de Tubo Ferro Galvanizado S/ Costura 1 1/4 Pol x 6.00 x 2.65mm</v>
          </cell>
          <cell r="C1782" t="str">
            <v>ML</v>
          </cell>
          <cell r="D1782">
            <v>23.322700000000001</v>
          </cell>
        </row>
        <row r="1783">
          <cell r="A1783" t="str">
            <v>001.26.00140</v>
          </cell>
          <cell r="B1783" t="str">
            <v>Fornecimento e Instalação de Tubo Ferro Galvanizado S/ Costura 1 Pol x 6.00 x 2.65mm</v>
          </cell>
          <cell r="C1783" t="str">
            <v>ML</v>
          </cell>
          <cell r="D1783">
            <v>18.498899999999999</v>
          </cell>
        </row>
        <row r="1784">
          <cell r="A1784" t="str">
            <v>001.26.00160</v>
          </cell>
          <cell r="B1784" t="str">
            <v>Fornecimento e Instalação de Tubo Ferro Galvanizado S/ Costura 3/4 Pol x 6.00 x 2.25mm</v>
          </cell>
          <cell r="C1784" t="str">
            <v>ML</v>
          </cell>
          <cell r="D1784">
            <v>12.9133</v>
          </cell>
        </row>
        <row r="1785">
          <cell r="A1785" t="str">
            <v>001.26.00180</v>
          </cell>
          <cell r="B1785" t="str">
            <v>Fornecimento e Instalação de Tubo Ferro Galvanizado S/ Costura 1/2 Pol x 6.00 x 2.25mm</v>
          </cell>
          <cell r="C1785" t="str">
            <v>ML</v>
          </cell>
          <cell r="D1785">
            <v>10.251899999999999</v>
          </cell>
        </row>
        <row r="1786">
          <cell r="A1786" t="str">
            <v>001.26.00200</v>
          </cell>
          <cell r="B1786" t="str">
            <v>Fornecimento e Instalação de Cotov.Redução de Ferro Galvanizado 90  2.5x2 Pol</v>
          </cell>
          <cell r="C1786" t="str">
            <v>UN</v>
          </cell>
          <cell r="D1786">
            <v>45.912599999999998</v>
          </cell>
        </row>
        <row r="1787">
          <cell r="A1787" t="str">
            <v>001.26.00220</v>
          </cell>
          <cell r="B1787" t="str">
            <v>Fornecimento e Instalação de Cotov.Redução de Ferro Galvanizado 90  2x1.5 Pol</v>
          </cell>
          <cell r="C1787" t="str">
            <v>UN</v>
          </cell>
          <cell r="D1787">
            <v>45.443899999999999</v>
          </cell>
        </row>
        <row r="1788">
          <cell r="A1788" t="str">
            <v>001.26.00240</v>
          </cell>
          <cell r="B1788" t="str">
            <v>Fornecimento e Instalação de Cotov.Redução de Ferro Galvanizado 90° 1.5x1 1/4 Pol</v>
          </cell>
          <cell r="C1788" t="str">
            <v>UN</v>
          </cell>
          <cell r="D1788">
            <v>21.543900000000001</v>
          </cell>
        </row>
        <row r="1789">
          <cell r="A1789" t="str">
            <v>001.26.00260</v>
          </cell>
          <cell r="B1789" t="str">
            <v>Fornecimento e Instalação de Cotov.Redução de Ferro Galvanizado 90° 1.5x1pol</v>
          </cell>
          <cell r="C1789" t="str">
            <v>UN</v>
          </cell>
          <cell r="D1789">
            <v>13.543900000000001</v>
          </cell>
        </row>
        <row r="1790">
          <cell r="A1790" t="str">
            <v>001.26.00280</v>
          </cell>
          <cell r="B1790" t="str">
            <v>Fornecimento e Instalação de Cotov.Redução de Ferro Galvanizado 90 1.5x3/4 Pol</v>
          </cell>
          <cell r="C1790" t="str">
            <v>UN</v>
          </cell>
          <cell r="D1790">
            <v>16.2439</v>
          </cell>
        </row>
        <row r="1791">
          <cell r="A1791" t="str">
            <v>001.26.00300</v>
          </cell>
          <cell r="B1791" t="str">
            <v>Fornecimento e Instalação de Cotov.Redução de Ferro Galvanizado 90° 1 1/4x1 Pol</v>
          </cell>
          <cell r="C1791" t="str">
            <v>UN</v>
          </cell>
          <cell r="D1791">
            <v>10.023899999999999</v>
          </cell>
        </row>
        <row r="1792">
          <cell r="A1792" t="str">
            <v>001.26.00320</v>
          </cell>
          <cell r="B1792" t="str">
            <v>Fornecimento e Instalação de Cotov.Redução de Ferro Galvanizado 90° 1 1/4x 3/4 Pol</v>
          </cell>
          <cell r="C1792" t="str">
            <v>UN</v>
          </cell>
          <cell r="D1792">
            <v>16.2439</v>
          </cell>
        </row>
        <row r="1793">
          <cell r="A1793" t="str">
            <v>001.26.00340</v>
          </cell>
          <cell r="B1793" t="str">
            <v>Fornecimento e Instalação de Cotov.Redução de Ferro Galvanizado 90° 1x3/4 Pol</v>
          </cell>
          <cell r="C1793" t="str">
            <v>UN</v>
          </cell>
          <cell r="D1793">
            <v>6.6851000000000003</v>
          </cell>
        </row>
        <row r="1794">
          <cell r="A1794" t="str">
            <v>001.26.00360</v>
          </cell>
          <cell r="B1794" t="str">
            <v>Fornecimento e Instalação de Cotov.Redução de Ferro Galvanizado 90° 1x1/2 Pol</v>
          </cell>
          <cell r="C1794" t="str">
            <v>UN</v>
          </cell>
          <cell r="D1794">
            <v>6.6851000000000003</v>
          </cell>
        </row>
        <row r="1795">
          <cell r="A1795" t="str">
            <v>001.26.00380</v>
          </cell>
          <cell r="B1795" t="str">
            <v>Fornecimento e Instalação de Cotov.Redução de Ferro Galvanizado 90° 3/4x1/2 Pol</v>
          </cell>
          <cell r="C1795" t="str">
            <v>UN</v>
          </cell>
          <cell r="D1795">
            <v>4.3851000000000004</v>
          </cell>
        </row>
        <row r="1796">
          <cell r="A1796" t="str">
            <v>001.26.00400</v>
          </cell>
          <cell r="B1796" t="str">
            <v>Fornecimento e Instalação de Bucha Redução Ferro Galvanizado 4x3 Pol</v>
          </cell>
          <cell r="C1796" t="str">
            <v>UN</v>
          </cell>
          <cell r="D1796">
            <v>31.4101</v>
          </cell>
        </row>
        <row r="1797">
          <cell r="A1797" t="str">
            <v>001.26.00420</v>
          </cell>
          <cell r="B1797" t="str">
            <v>Fornecimento e Instalação de Bucha Redução Ferro Galvanizado 4x2.5 Pol</v>
          </cell>
          <cell r="C1797" t="str">
            <v>UN</v>
          </cell>
          <cell r="D1797">
            <v>25.080100000000002</v>
          </cell>
        </row>
        <row r="1798">
          <cell r="A1798" t="str">
            <v>001.26.00440</v>
          </cell>
          <cell r="B1798" t="str">
            <v>Fornecimento e Instalação de Bucha Redução Ferro Galvanizado 4x2 Pol</v>
          </cell>
          <cell r="C1798" t="str">
            <v>UN</v>
          </cell>
          <cell r="D1798">
            <v>31.4101</v>
          </cell>
        </row>
        <row r="1799">
          <cell r="A1799" t="str">
            <v>001.26.00460</v>
          </cell>
          <cell r="B1799" t="str">
            <v>Fornecimento e Instalação de Bucha Redução Ferro Galvanizado 3x2.5 Pol</v>
          </cell>
          <cell r="C1799" t="str">
            <v>UN</v>
          </cell>
          <cell r="D1799">
            <v>18.921399999999998</v>
          </cell>
        </row>
        <row r="1800">
          <cell r="A1800" t="str">
            <v>001.26.00480</v>
          </cell>
          <cell r="B1800" t="str">
            <v>Forneicmento e Instalação de Bucha Redução Ferro Galvanizado 3x2 Pol</v>
          </cell>
          <cell r="C1800" t="str">
            <v>UN</v>
          </cell>
          <cell r="D1800">
            <v>18.921399999999998</v>
          </cell>
        </row>
        <row r="1801">
          <cell r="A1801" t="str">
            <v>001.26.00500</v>
          </cell>
          <cell r="B1801" t="str">
            <v>Fornecimento e Instalação de Bucha Redução Ferro Galvanizado 2.5x2 Pol</v>
          </cell>
          <cell r="C1801" t="str">
            <v>UN</v>
          </cell>
          <cell r="D1801">
            <v>12.5426</v>
          </cell>
        </row>
        <row r="1802">
          <cell r="A1802" t="str">
            <v>001.26.00520</v>
          </cell>
          <cell r="B1802" t="str">
            <v>Forneicmento e Instalação de Bucha Redução Ferro Galvanizado  2.5x1.5 Pol</v>
          </cell>
          <cell r="C1802" t="str">
            <v>UN</v>
          </cell>
          <cell r="D1802">
            <v>11.852600000000001</v>
          </cell>
        </row>
        <row r="1803">
          <cell r="A1803" t="str">
            <v>001.26.00540</v>
          </cell>
          <cell r="B1803" t="str">
            <v>Fornecimento e Instalação de Bucha Redução Ferro Galvanizado 2.5x1 1/4 Pol</v>
          </cell>
          <cell r="C1803" t="str">
            <v>UN</v>
          </cell>
          <cell r="D1803">
            <v>9.9925999999999995</v>
          </cell>
        </row>
        <row r="1804">
          <cell r="A1804" t="str">
            <v>001.26.00560</v>
          </cell>
          <cell r="B1804" t="str">
            <v>Fornecimento e Instalação de Bucha Redução Ferro Galvanizado. 2x1.5 Pol</v>
          </cell>
          <cell r="C1804" t="str">
            <v>UN</v>
          </cell>
          <cell r="D1804">
            <v>8.5938999999999997</v>
          </cell>
        </row>
        <row r="1805">
          <cell r="A1805" t="str">
            <v>001.26.00580</v>
          </cell>
          <cell r="B1805" t="str">
            <v>Fornecimento e Instalação de Bucha Redução Ferro Galvanizado 2x1 1/4 Pol</v>
          </cell>
          <cell r="C1805" t="str">
            <v>UN</v>
          </cell>
          <cell r="D1805">
            <v>8.2439</v>
          </cell>
        </row>
        <row r="1806">
          <cell r="A1806" t="str">
            <v>001.26.00600</v>
          </cell>
          <cell r="B1806" t="str">
            <v>Fornecimento e Instalação de Bucha Redução Ferro Galvanizado 2x1 Pol</v>
          </cell>
          <cell r="C1806" t="str">
            <v>UN</v>
          </cell>
          <cell r="D1806">
            <v>8.5338999999999992</v>
          </cell>
        </row>
        <row r="1807">
          <cell r="A1807" t="str">
            <v>001.26.00620</v>
          </cell>
          <cell r="B1807" t="str">
            <v>Fornecimento e Instalação de Bucha Redução Ferro Galvanizado 2x3/4 Pol</v>
          </cell>
          <cell r="C1807" t="str">
            <v>UN</v>
          </cell>
          <cell r="D1807">
            <v>8.5338999999999992</v>
          </cell>
        </row>
        <row r="1808">
          <cell r="A1808" t="str">
            <v>001.26.00640</v>
          </cell>
          <cell r="B1808" t="str">
            <v>Fornecimento e Instalação de Bucha Redução Ferro Galvanizado 1.5x1 1/4 Pol</v>
          </cell>
          <cell r="C1808" t="str">
            <v>UN</v>
          </cell>
          <cell r="D1808">
            <v>6.5739000000000001</v>
          </cell>
        </row>
        <row r="1809">
          <cell r="A1809" t="str">
            <v>001.26.00660</v>
          </cell>
          <cell r="B1809" t="str">
            <v>Fornecimento e Instalação de Bucha Redução Ferro Galvanizado 1.5x1 Pol</v>
          </cell>
          <cell r="C1809" t="str">
            <v>UN</v>
          </cell>
          <cell r="D1809">
            <v>6.2839</v>
          </cell>
        </row>
        <row r="1810">
          <cell r="A1810" t="str">
            <v>001.26.00680</v>
          </cell>
          <cell r="B1810" t="str">
            <v>Fornecimento e Instalação de Bucha Redução Ferro Galvanizado 1.5x3/4 Pol</v>
          </cell>
          <cell r="C1810" t="str">
            <v>UN</v>
          </cell>
          <cell r="D1810">
            <v>6.5538999999999996</v>
          </cell>
        </row>
        <row r="1811">
          <cell r="A1811" t="str">
            <v>001.26.00700</v>
          </cell>
          <cell r="B1811" t="str">
            <v>Fornecimento e Instalação de Bucha Redução Ferro Galvanizado 1 1/4x1 Pol</v>
          </cell>
          <cell r="C1811" t="str">
            <v>UN</v>
          </cell>
          <cell r="D1811">
            <v>5.8738999999999999</v>
          </cell>
        </row>
        <row r="1812">
          <cell r="A1812" t="str">
            <v>001.26.00720</v>
          </cell>
          <cell r="B1812" t="str">
            <v>Fornecimento e Instalação de Bucha Redução Ferro Galvanizado 1 1/4x3/4 Pol</v>
          </cell>
          <cell r="C1812" t="str">
            <v>UN</v>
          </cell>
          <cell r="D1812">
            <v>5.8838999999999997</v>
          </cell>
        </row>
        <row r="1813">
          <cell r="A1813" t="str">
            <v>001.26.00740</v>
          </cell>
          <cell r="B1813" t="str">
            <v>Fornecimento e Instalação de Bucha Redução Ferro Galvanizado 1 1/4x1/2 Pol</v>
          </cell>
          <cell r="C1813" t="str">
            <v>UN</v>
          </cell>
          <cell r="D1813">
            <v>5.5838999999999999</v>
          </cell>
        </row>
        <row r="1814">
          <cell r="A1814" t="str">
            <v>001.26.00760</v>
          </cell>
          <cell r="B1814" t="str">
            <v>Fornecimento e Instalação de Bucha Redução Ferro Galvanizado 1x3/4 Pol</v>
          </cell>
          <cell r="C1814" t="str">
            <v>UN</v>
          </cell>
          <cell r="D1814">
            <v>4.0850999999999997</v>
          </cell>
        </row>
        <row r="1815">
          <cell r="A1815" t="str">
            <v>001.26.00780</v>
          </cell>
          <cell r="B1815" t="str">
            <v>Fornecimento e Instalação de Bucha Redução Ferro Galvanizado 1x1/2 Pol</v>
          </cell>
          <cell r="C1815" t="str">
            <v>UN</v>
          </cell>
          <cell r="D1815">
            <v>4.0551000000000004</v>
          </cell>
        </row>
        <row r="1816">
          <cell r="A1816" t="str">
            <v>001.26.00800</v>
          </cell>
          <cell r="B1816" t="str">
            <v>Fornecimento e Instalação de Bucha Redução Ferro Galvanizado 3/4x1/2 Pol</v>
          </cell>
          <cell r="C1816" t="str">
            <v>UN</v>
          </cell>
          <cell r="D1816">
            <v>3.4350999999999998</v>
          </cell>
        </row>
        <row r="1817">
          <cell r="A1817" t="str">
            <v>001.26.00820</v>
          </cell>
          <cell r="B1817" t="str">
            <v>Fornecimento e Instalação de Luva De Redução De Ferro Galvanizado 4x3 Pol</v>
          </cell>
          <cell r="C1817" t="str">
            <v>UN</v>
          </cell>
          <cell r="D1817">
            <v>31.720099999999999</v>
          </cell>
        </row>
        <row r="1818">
          <cell r="A1818" t="str">
            <v>001.26.00840</v>
          </cell>
          <cell r="B1818" t="str">
            <v>Fornecimento e Instalação de Luva De Redução De Ferro Galvanizado 4x2.5 Pol</v>
          </cell>
          <cell r="C1818" t="str">
            <v>UN</v>
          </cell>
          <cell r="D1818">
            <v>23.440100000000001</v>
          </cell>
        </row>
        <row r="1819">
          <cell r="A1819" t="str">
            <v>001.26.00860</v>
          </cell>
          <cell r="B1819" t="str">
            <v>Fornecimento e Instalação de Luva De Redução De Ferro Galvanizado 4x2 Pol</v>
          </cell>
          <cell r="C1819" t="str">
            <v>UN</v>
          </cell>
          <cell r="D1819">
            <v>31.720099999999999</v>
          </cell>
        </row>
        <row r="1820">
          <cell r="A1820" t="str">
            <v>001.26.00880</v>
          </cell>
          <cell r="B1820" t="str">
            <v>Fornecimento e Instalação de Luva De Redução De Ferro Galvanizado 3x2.5 Pol</v>
          </cell>
          <cell r="C1820" t="str">
            <v>UN</v>
          </cell>
          <cell r="D1820">
            <v>22.481400000000001</v>
          </cell>
        </row>
        <row r="1821">
          <cell r="A1821" t="str">
            <v>001.26.00900</v>
          </cell>
          <cell r="B1821" t="str">
            <v>Fornecimento e Instalação de Luva De Redução De Ferro Galvanizado 3x2 Pol</v>
          </cell>
          <cell r="C1821" t="str">
            <v>UN</v>
          </cell>
          <cell r="D1821">
            <v>22.481400000000001</v>
          </cell>
        </row>
        <row r="1822">
          <cell r="A1822" t="str">
            <v>001.26.00920</v>
          </cell>
          <cell r="B1822" t="str">
            <v>Fornecimento e Instalação de Luva De Redução De Ferro Galvanizado 3x1.5 Pol</v>
          </cell>
          <cell r="C1822" t="str">
            <v>UN</v>
          </cell>
          <cell r="D1822">
            <v>22.481400000000001</v>
          </cell>
        </row>
        <row r="1823">
          <cell r="A1823" t="str">
            <v>001.26.00940</v>
          </cell>
          <cell r="B1823" t="str">
            <v>Fornecimento e Instalação de Luva De Redução De Ferro Galvanizado 2.5x2 Pol</v>
          </cell>
          <cell r="C1823" t="str">
            <v>UN</v>
          </cell>
          <cell r="D1823">
            <v>12.1126</v>
          </cell>
        </row>
        <row r="1824">
          <cell r="A1824" t="str">
            <v>001.26.00960</v>
          </cell>
          <cell r="B1824" t="str">
            <v>Fornecimento e Instalação de Luva De Redução De Ferro Galvanizado 2.5x1 1/4 Pol</v>
          </cell>
          <cell r="C1824" t="str">
            <v>UN</v>
          </cell>
          <cell r="D1824">
            <v>12.1126</v>
          </cell>
        </row>
        <row r="1825">
          <cell r="A1825" t="str">
            <v>001.26.00980</v>
          </cell>
          <cell r="B1825" t="str">
            <v>Fornecimento e Instalação de Luva De Redução De Ferro Galvanizado 2.5x1.5 Pol</v>
          </cell>
          <cell r="C1825" t="str">
            <v>UN</v>
          </cell>
          <cell r="D1825">
            <v>12.1126</v>
          </cell>
        </row>
        <row r="1826">
          <cell r="A1826" t="str">
            <v>001.26.01000</v>
          </cell>
          <cell r="B1826" t="str">
            <v>Fornecimento e Instalação de Luva De Redução De Ferro Galvanizado 2x1 1/4 Pol</v>
          </cell>
          <cell r="C1826" t="str">
            <v>UN</v>
          </cell>
          <cell r="D1826">
            <v>12.1126</v>
          </cell>
        </row>
        <row r="1827">
          <cell r="A1827" t="str">
            <v>001.26.01020</v>
          </cell>
          <cell r="B1827" t="str">
            <v>Fornecimento e Instalação de Luva De Redução De Ferro Galvanizado 2x1 Pol</v>
          </cell>
          <cell r="C1827" t="str">
            <v>UN</v>
          </cell>
          <cell r="D1827">
            <v>11.6439</v>
          </cell>
        </row>
        <row r="1828">
          <cell r="A1828" t="str">
            <v>001.26.01040</v>
          </cell>
          <cell r="B1828" t="str">
            <v>Fornecimento e Instalação de Luva De Redução De Ferro Galvanizado 1.5x1 Pol</v>
          </cell>
          <cell r="C1828" t="str">
            <v>UN</v>
          </cell>
          <cell r="D1828">
            <v>7.8438999999999997</v>
          </cell>
        </row>
        <row r="1829">
          <cell r="A1829" t="str">
            <v>001.26.01060</v>
          </cell>
          <cell r="B1829" t="str">
            <v>Fornecimento e Instalação de Luva De Redução De Ferro Galvanizado 11/4x1 Pol</v>
          </cell>
          <cell r="C1829" t="str">
            <v>UN</v>
          </cell>
          <cell r="D1829">
            <v>7.0438999999999998</v>
          </cell>
        </row>
        <row r="1830">
          <cell r="A1830" t="str">
            <v>001.26.01080</v>
          </cell>
          <cell r="B1830" t="str">
            <v>Fornecimento e Instalação de Luva De Redução De Ferro Galvanizado  1 1/4x3/4 Pol</v>
          </cell>
          <cell r="C1830" t="str">
            <v>UN</v>
          </cell>
          <cell r="D1830">
            <v>7.0438999999999998</v>
          </cell>
        </row>
        <row r="1831">
          <cell r="A1831" t="str">
            <v>001.26.01100</v>
          </cell>
          <cell r="B1831" t="str">
            <v>Fornecimento e Instalação de Luva De Redução De Ferro Galvanizado  1 1/4x1/2 Pol</v>
          </cell>
          <cell r="C1831" t="str">
            <v>UN</v>
          </cell>
          <cell r="D1831">
            <v>7.0438999999999998</v>
          </cell>
        </row>
        <row r="1832">
          <cell r="A1832" t="str">
            <v>001.26.01120</v>
          </cell>
          <cell r="B1832" t="str">
            <v>Fornecimento e Instalação de Luva De Redução De Ferro Galvanizado 1x3/4 Pol</v>
          </cell>
          <cell r="C1832" t="str">
            <v>UN</v>
          </cell>
          <cell r="D1832">
            <v>5.1750999999999996</v>
          </cell>
        </row>
        <row r="1833">
          <cell r="A1833" t="str">
            <v>001.26.01140</v>
          </cell>
          <cell r="B1833" t="str">
            <v>Fornecimento e Instalação de Luva De Redução De Ferro Galvanizado  1x1/2 Pol</v>
          </cell>
          <cell r="C1833" t="str">
            <v>UN</v>
          </cell>
          <cell r="D1833">
            <v>4.7751000000000001</v>
          </cell>
        </row>
        <row r="1834">
          <cell r="A1834" t="str">
            <v>001.26.01160</v>
          </cell>
          <cell r="B1834" t="str">
            <v>Fornecimento e Instalação de Luva De Redução De Ferro Galvanizado  3/4x1/2 Pol</v>
          </cell>
          <cell r="C1834" t="str">
            <v>UN</v>
          </cell>
          <cell r="D1834">
            <v>3.9750999999999999</v>
          </cell>
        </row>
        <row r="1835">
          <cell r="A1835" t="str">
            <v>001.26.01180</v>
          </cell>
          <cell r="B1835" t="str">
            <v>Fornecimento e Instalação de Cotov. De Ferro Galvanizado 90° 4 Pol</v>
          </cell>
          <cell r="C1835" t="str">
            <v>UN</v>
          </cell>
          <cell r="D1835">
            <v>50.440100000000001</v>
          </cell>
        </row>
        <row r="1836">
          <cell r="A1836" t="str">
            <v>001.26.01200</v>
          </cell>
          <cell r="B1836" t="str">
            <v>Fornecimento e Instalação de Cotov. De Ferro Galvanizado. 90° 3 Pol</v>
          </cell>
          <cell r="C1836" t="str">
            <v>UN</v>
          </cell>
          <cell r="D1836">
            <v>31.261399999999998</v>
          </cell>
        </row>
        <row r="1837">
          <cell r="A1837" t="str">
            <v>001.26.01220</v>
          </cell>
          <cell r="B1837" t="str">
            <v>Fornecimento e Instalação de Cotov. De Ferro Galvanizado 90° 2.5 Pol</v>
          </cell>
          <cell r="C1837" t="str">
            <v>UN</v>
          </cell>
          <cell r="D1837">
            <v>21.592600000000001</v>
          </cell>
        </row>
        <row r="1838">
          <cell r="A1838" t="str">
            <v>001.26.01240</v>
          </cell>
          <cell r="B1838" t="str">
            <v>Fornecimento e Instalação de Cotov. De Ferro Galvanizado 90° 2 Pol</v>
          </cell>
          <cell r="C1838" t="str">
            <v>UN</v>
          </cell>
          <cell r="D1838">
            <v>12.943899999999999</v>
          </cell>
        </row>
        <row r="1839">
          <cell r="A1839" t="str">
            <v>001.26.01260</v>
          </cell>
          <cell r="B1839" t="str">
            <v>Fornecimento e Instalação de Cotov. De Ferro Galvanizado 90° 1.5 Pol</v>
          </cell>
          <cell r="C1839" t="str">
            <v>UN</v>
          </cell>
          <cell r="D1839">
            <v>12.8439</v>
          </cell>
        </row>
        <row r="1840">
          <cell r="A1840" t="str">
            <v>001.26.01280</v>
          </cell>
          <cell r="B1840" t="str">
            <v>Fornecimento e Instalação de Cotov. De Ferro Galvanizado 90°  1 1/4 Pol</v>
          </cell>
          <cell r="C1840" t="str">
            <v>UN</v>
          </cell>
          <cell r="D1840">
            <v>10.023899999999999</v>
          </cell>
        </row>
        <row r="1841">
          <cell r="A1841" t="str">
            <v>001.26.01300</v>
          </cell>
          <cell r="B1841" t="str">
            <v>Fornecimento e Instalação de Cotov. De Ferro Galvanizado 90° 1 Pol</v>
          </cell>
          <cell r="C1841" t="str">
            <v>UN</v>
          </cell>
          <cell r="D1841">
            <v>6.6851000000000003</v>
          </cell>
        </row>
        <row r="1842">
          <cell r="A1842" t="str">
            <v>001.26.01320</v>
          </cell>
          <cell r="B1842" t="str">
            <v>Fornecimento e Instalação de Cotov. De Ferro Galvanizado 90°  3/4 Pol</v>
          </cell>
          <cell r="C1842" t="str">
            <v>UN</v>
          </cell>
          <cell r="D1842">
            <v>4.0850999999999997</v>
          </cell>
        </row>
        <row r="1843">
          <cell r="A1843" t="str">
            <v>001.26.01340</v>
          </cell>
          <cell r="B1843" t="str">
            <v>Fornecimento e Instalação de Cotov. De Ferro Galvanizado 90° 1/2 Pol</v>
          </cell>
          <cell r="C1843" t="str">
            <v>UN</v>
          </cell>
          <cell r="D1843">
            <v>3.5651000000000002</v>
          </cell>
        </row>
        <row r="1844">
          <cell r="A1844" t="str">
            <v>001.26.01360</v>
          </cell>
          <cell r="B1844" t="str">
            <v>Fornecimento e Instalação de Tee De Ferro Galvanizado 4 Pol</v>
          </cell>
          <cell r="C1844" t="str">
            <v>UN</v>
          </cell>
          <cell r="D1844">
            <v>54.587699999999998</v>
          </cell>
        </row>
        <row r="1845">
          <cell r="A1845" t="str">
            <v>001.26.01380</v>
          </cell>
          <cell r="B1845" t="str">
            <v>Fornecimento e Instalação de Tee De Ferro Galvanizado 3 Pol</v>
          </cell>
          <cell r="C1845" t="str">
            <v>UN</v>
          </cell>
          <cell r="D1845">
            <v>39.718899999999998</v>
          </cell>
        </row>
        <row r="1846">
          <cell r="A1846" t="str">
            <v>001.26.01400</v>
          </cell>
          <cell r="B1846" t="str">
            <v>Fornecimento e Instalação de Tee De Ferro Galvanizado 2.5 Pol</v>
          </cell>
          <cell r="C1846" t="str">
            <v>UN</v>
          </cell>
          <cell r="D1846">
            <v>30.2501</v>
          </cell>
        </row>
        <row r="1847">
          <cell r="A1847" t="str">
            <v>001.26.01420</v>
          </cell>
          <cell r="B1847" t="str">
            <v>Fornecimento e Instalação de Tee De Ferro Galvanizado 2 Pol</v>
          </cell>
          <cell r="C1847" t="str">
            <v>UN</v>
          </cell>
          <cell r="D1847">
            <v>17.303000000000001</v>
          </cell>
        </row>
        <row r="1848">
          <cell r="A1848" t="str">
            <v>001.26.01440</v>
          </cell>
          <cell r="B1848" t="str">
            <v>Fornecimento e Instalação de Tee De Ferro Galvanizado 1.5 Pol</v>
          </cell>
          <cell r="C1848" t="str">
            <v>UN</v>
          </cell>
          <cell r="D1848">
            <v>11.8314</v>
          </cell>
        </row>
        <row r="1849">
          <cell r="A1849" t="str">
            <v>001.26.01460</v>
          </cell>
          <cell r="B1849" t="str">
            <v>Fornecimento e Instalação de Tee De Ferro Galvanizado 1 1/4 Pol</v>
          </cell>
          <cell r="C1849" t="str">
            <v>UN</v>
          </cell>
          <cell r="D1849">
            <v>10.6814</v>
          </cell>
        </row>
        <row r="1850">
          <cell r="A1850" t="str">
            <v>001.26.01480</v>
          </cell>
          <cell r="B1850" t="str">
            <v>Fornecimento e Instalação de Tee De Ferro Galvanizado 1 Pol</v>
          </cell>
          <cell r="C1850" t="str">
            <v>UN</v>
          </cell>
          <cell r="D1850">
            <v>7.5625999999999998</v>
          </cell>
        </row>
        <row r="1851">
          <cell r="A1851" t="str">
            <v>001.26.01500</v>
          </cell>
          <cell r="B1851" t="str">
            <v>Fornecimento e Instalação de Tee De Ferro Galvanizado 3/4 Pol</v>
          </cell>
          <cell r="C1851" t="str">
            <v>UN</v>
          </cell>
          <cell r="D1851">
            <v>5.5125999999999999</v>
          </cell>
        </row>
        <row r="1852">
          <cell r="A1852" t="str">
            <v>001.26.01520</v>
          </cell>
          <cell r="B1852" t="str">
            <v>Fornecimento e Instalação de Tee De Ferro Galvanizado 1/2 Pol</v>
          </cell>
          <cell r="C1852" t="str">
            <v>UN</v>
          </cell>
          <cell r="D1852">
            <v>4.1525999999999996</v>
          </cell>
        </row>
        <row r="1853">
          <cell r="A1853" t="str">
            <v>001.26.01540</v>
          </cell>
          <cell r="B1853" t="str">
            <v>Fornecimento e Instalação de Tee Redução De Ferro Galvanizado 4x3 Pol</v>
          </cell>
          <cell r="C1853" t="str">
            <v>UN</v>
          </cell>
          <cell r="D1853">
            <v>90.187700000000007</v>
          </cell>
        </row>
        <row r="1854">
          <cell r="A1854" t="str">
            <v>001.26.01560</v>
          </cell>
          <cell r="B1854" t="str">
            <v>Fornecimento e Instalação de Tee Redução De Ferro Galvanizado 4x2 Pol</v>
          </cell>
          <cell r="C1854" t="str">
            <v>UN</v>
          </cell>
          <cell r="D1854">
            <v>90.187700000000007</v>
          </cell>
        </row>
        <row r="1855">
          <cell r="A1855" t="str">
            <v>001.26.01580</v>
          </cell>
          <cell r="B1855" t="str">
            <v>Fornecimento e Instalação de Tee Redução De Ferro Galvanizado 3x2.5 Pol</v>
          </cell>
          <cell r="C1855" t="str">
            <v>UN</v>
          </cell>
          <cell r="D1855">
            <v>49.218899999999998</v>
          </cell>
        </row>
        <row r="1856">
          <cell r="A1856" t="str">
            <v>001.26.01600</v>
          </cell>
          <cell r="B1856" t="str">
            <v>Fornecimento e Instalação de Tee Redução De Ferro Galvanizado 3x2 Pol</v>
          </cell>
          <cell r="C1856" t="str">
            <v>UN</v>
          </cell>
          <cell r="D1856">
            <v>31.6189</v>
          </cell>
        </row>
        <row r="1857">
          <cell r="A1857" t="str">
            <v>001.26.01620</v>
          </cell>
          <cell r="B1857" t="str">
            <v>Fornecimento e Instalação de Tee Redução De Ferro Galvanizado 3x1.5 Pol</v>
          </cell>
          <cell r="C1857" t="str">
            <v>UN</v>
          </cell>
          <cell r="D1857">
            <v>31.6189</v>
          </cell>
        </row>
        <row r="1858">
          <cell r="A1858" t="str">
            <v>001.26.01640</v>
          </cell>
          <cell r="B1858" t="str">
            <v>Fornecimento e Instalação de Tee Redução De Ferro Galvanizado 2.5x2 Pol</v>
          </cell>
          <cell r="C1858" t="str">
            <v>UN</v>
          </cell>
          <cell r="D1858">
            <v>38.190100000000001</v>
          </cell>
        </row>
        <row r="1859">
          <cell r="A1859" t="str">
            <v>001.26.01660</v>
          </cell>
          <cell r="B1859" t="str">
            <v>Fornecimento e Instalação de Tee Redução De Ferro Galvanizado 2.5x1 1/4 Pol</v>
          </cell>
          <cell r="C1859" t="str">
            <v>UN</v>
          </cell>
          <cell r="D1859">
            <v>26.2501</v>
          </cell>
        </row>
        <row r="1860">
          <cell r="A1860" t="str">
            <v>001.26.01680</v>
          </cell>
          <cell r="B1860" t="str">
            <v>Fornecimento e Instalação de Tee Redução De Ferro Galvanizado 2x11/2pol</v>
          </cell>
          <cell r="C1860" t="str">
            <v>UN</v>
          </cell>
          <cell r="D1860">
            <v>14.700100000000001</v>
          </cell>
        </row>
        <row r="1861">
          <cell r="A1861" t="str">
            <v>001.26.01700</v>
          </cell>
          <cell r="B1861" t="str">
            <v>Fornecimento e Instalação de Tee Redução De Ferro Galvanizado 2x11/4pol</v>
          </cell>
          <cell r="C1861" t="str">
            <v>UN</v>
          </cell>
          <cell r="D1861">
            <v>17.700099999999999</v>
          </cell>
        </row>
        <row r="1862">
          <cell r="A1862" t="str">
            <v>001.26.01720</v>
          </cell>
          <cell r="B1862" t="str">
            <v>Fornecimento e Instalação de Tee Redução De Ferro Galvanizado 2x1 Pol</v>
          </cell>
          <cell r="C1862" t="str">
            <v>UN</v>
          </cell>
          <cell r="D1862">
            <v>13.7814</v>
          </cell>
        </row>
        <row r="1863">
          <cell r="A1863" t="str">
            <v>001.26.01740</v>
          </cell>
          <cell r="B1863" t="str">
            <v>Fornecimento e Instalação de Tee Redução De Ferro Galvanizado 1.5 X 1.1/4 Pol</v>
          </cell>
          <cell r="C1863" t="str">
            <v>UN</v>
          </cell>
          <cell r="D1863">
            <v>9.8513999999999999</v>
          </cell>
        </row>
        <row r="1864">
          <cell r="A1864" t="str">
            <v>001.26.01760</v>
          </cell>
          <cell r="B1864" t="str">
            <v>Fornecimento e Instalação de Tee Redução De Ferro Galvanizado 1.5 X 1 Pol</v>
          </cell>
          <cell r="C1864" t="str">
            <v>UN</v>
          </cell>
          <cell r="D1864">
            <v>14.1014</v>
          </cell>
        </row>
        <row r="1865">
          <cell r="A1865" t="str">
            <v>001.26.01780</v>
          </cell>
          <cell r="B1865" t="str">
            <v>Fornecimento e Instalação de Tee Redução De Ferro Galvanizado 1.5x3/4 Pol</v>
          </cell>
          <cell r="C1865" t="str">
            <v>UN</v>
          </cell>
          <cell r="D1865">
            <v>10.571400000000001</v>
          </cell>
        </row>
        <row r="1866">
          <cell r="A1866" t="str">
            <v>001.26.01800</v>
          </cell>
          <cell r="B1866" t="str">
            <v>Fornecimento e Instalação de Tee Redução De Ferro Galvanizado 1 1/4x1 Pol</v>
          </cell>
          <cell r="C1866" t="str">
            <v>UN</v>
          </cell>
          <cell r="D1866">
            <v>9.4814000000000007</v>
          </cell>
        </row>
        <row r="1867">
          <cell r="A1867" t="str">
            <v>001.26.01820</v>
          </cell>
          <cell r="B1867" t="str">
            <v>Fornecimento e Instalação de Tee Redução De Ferro Galvanizado 1 1/4x3/4 Pol</v>
          </cell>
          <cell r="C1867" t="str">
            <v>UN</v>
          </cell>
          <cell r="D1867">
            <v>9.4814000000000007</v>
          </cell>
        </row>
        <row r="1868">
          <cell r="A1868" t="str">
            <v>001.26.01840</v>
          </cell>
          <cell r="B1868" t="str">
            <v>Fornecimento e Instalação de Tee Redução De Ferro Galvanizado 1 1/4x1/2 Pol</v>
          </cell>
          <cell r="C1868" t="str">
            <v>UN</v>
          </cell>
          <cell r="D1868">
            <v>8.5814000000000004</v>
          </cell>
        </row>
        <row r="1869">
          <cell r="A1869" t="str">
            <v>001.26.01860</v>
          </cell>
          <cell r="B1869" t="str">
            <v>Fornecimento e Instalação de Tee Redução De Ferro Galvanizado 1x3/4 Pol</v>
          </cell>
          <cell r="C1869" t="str">
            <v>UN</v>
          </cell>
          <cell r="D1869">
            <v>5.8525999999999998</v>
          </cell>
        </row>
        <row r="1870">
          <cell r="A1870" t="str">
            <v>001.26.01880</v>
          </cell>
          <cell r="B1870" t="str">
            <v>Fornecimento e Instalação de Tee Redução De Ferro Galvanizado 1x1/2 Pol</v>
          </cell>
          <cell r="C1870" t="str">
            <v>UN</v>
          </cell>
          <cell r="D1870">
            <v>8.6026000000000007</v>
          </cell>
        </row>
        <row r="1871">
          <cell r="A1871" t="str">
            <v>001.26.01900</v>
          </cell>
          <cell r="B1871" t="str">
            <v>Fornecimento e Instalação de Tee Redução De Ferro Galvanizado 3/4x1/2 Pol</v>
          </cell>
          <cell r="C1871" t="str">
            <v>UN</v>
          </cell>
          <cell r="D1871">
            <v>4.4526000000000003</v>
          </cell>
        </row>
        <row r="1872">
          <cell r="A1872" t="str">
            <v>001.26.01920</v>
          </cell>
          <cell r="B1872" t="str">
            <v>Fornecimento e Instalação de Luva Simples De Ferro Galvanizado 4 Pol</v>
          </cell>
          <cell r="C1872" t="str">
            <v>UN</v>
          </cell>
          <cell r="D1872">
            <v>33.700099999999999</v>
          </cell>
        </row>
        <row r="1873">
          <cell r="A1873" t="str">
            <v>001.26.01940</v>
          </cell>
          <cell r="B1873" t="str">
            <v>Fornecimento e Instalação de Luva Simples De Ferro Galvanizado 3 Pol</v>
          </cell>
          <cell r="C1873" t="str">
            <v>UN</v>
          </cell>
          <cell r="D1873">
            <v>26.1814</v>
          </cell>
        </row>
        <row r="1874">
          <cell r="A1874" t="str">
            <v>001.26.01960</v>
          </cell>
          <cell r="B1874" t="str">
            <v>Fornecimento e Instalação de Luva Simples De Ferro Galvanizado 2.5 Pol</v>
          </cell>
          <cell r="C1874" t="str">
            <v>UN</v>
          </cell>
          <cell r="D1874">
            <v>18.3126</v>
          </cell>
        </row>
        <row r="1875">
          <cell r="A1875" t="str">
            <v>001.26.01980</v>
          </cell>
          <cell r="B1875" t="str">
            <v>Fornecimento e Instalação de Luva Simples De Ferro Galvanizado 2 Pol</v>
          </cell>
          <cell r="C1875" t="str">
            <v>UN</v>
          </cell>
          <cell r="D1875">
            <v>10.443899999999999</v>
          </cell>
        </row>
        <row r="1876">
          <cell r="A1876" t="str">
            <v>001.26.02000</v>
          </cell>
          <cell r="B1876" t="str">
            <v>Fornecimento e Instalação de Luva Simples De Ferro Galvanizado 1.5 Pol</v>
          </cell>
          <cell r="C1876" t="str">
            <v>UN</v>
          </cell>
          <cell r="D1876">
            <v>7.8438999999999997</v>
          </cell>
        </row>
        <row r="1877">
          <cell r="A1877" t="str">
            <v>001.26.02020</v>
          </cell>
          <cell r="B1877" t="str">
            <v>Fornecimento e Instalação de Luva Simples De Ferro Galvanizado 1 1/4/Pol</v>
          </cell>
          <cell r="C1877" t="str">
            <v>UN</v>
          </cell>
          <cell r="D1877">
            <v>6.2938999999999998</v>
          </cell>
        </row>
        <row r="1878">
          <cell r="A1878" t="str">
            <v>001.26.02040</v>
          </cell>
          <cell r="B1878" t="str">
            <v>Fornecimento e Instalação de Luva Simples De Ferro Galvanizado 1 Pol</v>
          </cell>
          <cell r="C1878" t="str">
            <v>UN</v>
          </cell>
          <cell r="D1878">
            <v>5.0251000000000001</v>
          </cell>
        </row>
        <row r="1879">
          <cell r="A1879" t="str">
            <v>001.26.02060</v>
          </cell>
          <cell r="B1879" t="str">
            <v>Fornecimento e Instalação de Luva Simples De Ferro Galvanizado 3/4 Pol</v>
          </cell>
          <cell r="C1879" t="str">
            <v>UN</v>
          </cell>
          <cell r="D1879">
            <v>3.8250999999999999</v>
          </cell>
        </row>
        <row r="1880">
          <cell r="A1880" t="str">
            <v>001.26.02080</v>
          </cell>
          <cell r="B1880" t="str">
            <v>Fornecimento e Instalação de Luva Simples De Ferro Galvanizado 1/2 Pol</v>
          </cell>
          <cell r="C1880" t="str">
            <v>UN</v>
          </cell>
          <cell r="D1880">
            <v>3.1251000000000002</v>
          </cell>
        </row>
        <row r="1881">
          <cell r="A1881" t="str">
            <v>001.26.02100</v>
          </cell>
          <cell r="B1881" t="str">
            <v>Fornecimento e Instalação de União Assento Plano De Ferro Galvanizado 4 Pol</v>
          </cell>
          <cell r="C1881" t="str">
            <v>UN</v>
          </cell>
          <cell r="D1881">
            <v>56.250100000000003</v>
          </cell>
        </row>
        <row r="1882">
          <cell r="A1882" t="str">
            <v>001.26.02120</v>
          </cell>
          <cell r="B1882" t="str">
            <v>Fornecimento e Instalação de União Assento Plano De Ferro Galvanizado 3 Pol</v>
          </cell>
          <cell r="C1882" t="str">
            <v>UN</v>
          </cell>
          <cell r="D1882">
            <v>45.781399999999998</v>
          </cell>
        </row>
        <row r="1883">
          <cell r="A1883" t="str">
            <v>001.26.02140</v>
          </cell>
          <cell r="B1883" t="str">
            <v>Fornecimento e Instalação de União Assento Plano De Ferro Galvanizado 2.5 Pol</v>
          </cell>
          <cell r="C1883" t="str">
            <v>UN</v>
          </cell>
          <cell r="D1883">
            <v>37.231400000000001</v>
          </cell>
        </row>
        <row r="1884">
          <cell r="A1884" t="str">
            <v>001.26.02160</v>
          </cell>
          <cell r="B1884" t="str">
            <v>Fornecimento e Instalação de União Assento Plano De Ferro Galvanizado 2 Pol</v>
          </cell>
          <cell r="C1884" t="str">
            <v>UN</v>
          </cell>
          <cell r="D1884">
            <v>26.3126</v>
          </cell>
        </row>
        <row r="1885">
          <cell r="A1885" t="str">
            <v>001.26.02180</v>
          </cell>
          <cell r="B1885" t="str">
            <v>Fornecimento e Instalação de União Assento Plano De Ferro Galvanizado 1.5 Pol</v>
          </cell>
          <cell r="C1885" t="str">
            <v>UN</v>
          </cell>
          <cell r="D1885">
            <v>18.712599999999998</v>
          </cell>
        </row>
        <row r="1886">
          <cell r="A1886" t="str">
            <v>001.26.02200</v>
          </cell>
          <cell r="B1886" t="str">
            <v>Fornecimento e Instalação de União Assento Plano De Ferro Galvanizado 1 1/4 Pol</v>
          </cell>
          <cell r="C1886" t="str">
            <v>UN</v>
          </cell>
          <cell r="D1886">
            <v>15.7126</v>
          </cell>
        </row>
        <row r="1887">
          <cell r="A1887" t="str">
            <v>001.26.02220</v>
          </cell>
          <cell r="B1887" t="str">
            <v>Fornecimento e Instalação de União Assento Plano De Ferro Galvanizado 1 Pol</v>
          </cell>
          <cell r="C1887" t="str">
            <v>UN</v>
          </cell>
          <cell r="D1887">
            <v>10.8439</v>
          </cell>
        </row>
        <row r="1888">
          <cell r="A1888" t="str">
            <v>001.26.02240</v>
          </cell>
          <cell r="B1888" t="str">
            <v>Fornecimento e Instalação de União Assento Plano De Ferro Galvanizado 3/4 Pol</v>
          </cell>
          <cell r="C1888" t="str">
            <v>UN</v>
          </cell>
          <cell r="D1888">
            <v>10.2439</v>
          </cell>
        </row>
        <row r="1889">
          <cell r="A1889" t="str">
            <v>001.26.02260</v>
          </cell>
          <cell r="B1889" t="str">
            <v>Fornecimento e Instalação de União Assento Plano De Ferro Galvanizado 1/2 Pol</v>
          </cell>
          <cell r="C1889" t="str">
            <v>UN</v>
          </cell>
          <cell r="D1889">
            <v>7.8438999999999997</v>
          </cell>
        </row>
        <row r="1890">
          <cell r="A1890" t="str">
            <v>001.26.02280</v>
          </cell>
          <cell r="B1890" t="str">
            <v>Fornecimento e Instalação de Flanges C/Sextavados De Ferro Galvanizado 4 Pol</v>
          </cell>
          <cell r="C1890" t="str">
            <v>UN</v>
          </cell>
          <cell r="D1890">
            <v>44.067399999999999</v>
          </cell>
        </row>
        <row r="1891">
          <cell r="A1891" t="str">
            <v>001.26.02300</v>
          </cell>
          <cell r="B1891" t="str">
            <v>Fornecimento e Instalação de Flanges C/Sextavados De Ferro Galvanizado 3 Pol</v>
          </cell>
          <cell r="C1891" t="str">
            <v>UN</v>
          </cell>
          <cell r="D1891">
            <v>34.680100000000003</v>
          </cell>
        </row>
        <row r="1892">
          <cell r="A1892" t="str">
            <v>001.26.02320</v>
          </cell>
          <cell r="B1892" t="str">
            <v>Fornecimento e Instalação de Flanges C/Sextavados De Ferro Galvanizado  2.5 Pol</v>
          </cell>
          <cell r="C1892" t="str">
            <v>UN</v>
          </cell>
          <cell r="D1892">
            <v>23.7514</v>
          </cell>
        </row>
        <row r="1893">
          <cell r="A1893" t="str">
            <v>001.26.02340</v>
          </cell>
          <cell r="B1893" t="str">
            <v>Fornecimento e Instalação de Flanges C/Sextavados De Ferro Galvanizado 2 Pol</v>
          </cell>
          <cell r="C1893" t="str">
            <v>UN</v>
          </cell>
          <cell r="D1893">
            <v>17.262599999999999</v>
          </cell>
        </row>
        <row r="1894">
          <cell r="A1894" t="str">
            <v>001.26.02360</v>
          </cell>
          <cell r="B1894" t="str">
            <v>Fornecimento e Instalação de Flanges C/Sextavados De Ferro Galvanizado 1.5 Pol</v>
          </cell>
          <cell r="C1894" t="str">
            <v>UN</v>
          </cell>
          <cell r="D1894">
            <v>7.2938999999999998</v>
          </cell>
        </row>
        <row r="1895">
          <cell r="A1895" t="str">
            <v>001.26.02380</v>
          </cell>
          <cell r="B1895" t="str">
            <v>Fornecimento e Instalação de Flanges C/Sextavados De Ferro Galvanizado 1 1/4 Pol</v>
          </cell>
          <cell r="C1895" t="str">
            <v>UN</v>
          </cell>
          <cell r="D1895">
            <v>6.5438999999999998</v>
          </cell>
        </row>
        <row r="1896">
          <cell r="A1896" t="str">
            <v>001.26.02400</v>
          </cell>
          <cell r="B1896" t="str">
            <v>Fornecimento e Instalação de Flanges C/Sextavados De  Ferro Galvanizado 1 Pol</v>
          </cell>
          <cell r="C1896" t="str">
            <v>UN</v>
          </cell>
          <cell r="D1896">
            <v>5.6750999999999996</v>
          </cell>
        </row>
        <row r="1897">
          <cell r="A1897" t="str">
            <v>001.26.02420</v>
          </cell>
          <cell r="B1897" t="str">
            <v>Fornecimento e Instalação de Flanges C/Sextavados De Ferro Galvanizado  3/4 Pol</v>
          </cell>
          <cell r="C1897" t="str">
            <v>UN</v>
          </cell>
          <cell r="D1897">
            <v>7.0050999999999997</v>
          </cell>
        </row>
        <row r="1898">
          <cell r="A1898" t="str">
            <v>001.26.02440</v>
          </cell>
          <cell r="B1898" t="str">
            <v>Fornecimento e Instalação de Flanges C/Sextavados De Ferro Galvanizado 1/2 Pol</v>
          </cell>
          <cell r="C1898" t="str">
            <v>UN</v>
          </cell>
          <cell r="D1898">
            <v>6.0450999999999997</v>
          </cell>
        </row>
        <row r="1899">
          <cell r="A1899" t="str">
            <v>001.26.02460</v>
          </cell>
          <cell r="B1899" t="str">
            <v>Fornecimento e Instalação de Niples Duplos De Ferro Galvanizado 4 Pol</v>
          </cell>
          <cell r="C1899" t="str">
            <v>UN</v>
          </cell>
          <cell r="D1899">
            <v>35.250100000000003</v>
          </cell>
        </row>
        <row r="1900">
          <cell r="A1900" t="str">
            <v>001.26.02480</v>
          </cell>
          <cell r="B1900" t="str">
            <v>Fornecimento e Instalação de Niples Duplos De Ferro Galvanizado 3 Pol</v>
          </cell>
          <cell r="C1900" t="str">
            <v>UN</v>
          </cell>
          <cell r="D1900">
            <v>19.581399999999999</v>
          </cell>
        </row>
        <row r="1901">
          <cell r="A1901" t="str">
            <v>001.26.02500</v>
          </cell>
          <cell r="B1901" t="str">
            <v>Fornecimento e Instalação de Niples Duplos De Ferro Galvanizado 2.5 Pol</v>
          </cell>
          <cell r="C1901" t="str">
            <v>UN</v>
          </cell>
          <cell r="D1901">
            <v>13.762600000000001</v>
          </cell>
        </row>
        <row r="1902">
          <cell r="A1902" t="str">
            <v>001.26.02520</v>
          </cell>
          <cell r="B1902" t="str">
            <v>Fornecimento e Instalação de Niples Duplos De Ferro Galvanizado 2 Pol</v>
          </cell>
          <cell r="C1902" t="str">
            <v>UN</v>
          </cell>
          <cell r="D1902">
            <v>10.943899999999999</v>
          </cell>
        </row>
        <row r="1903">
          <cell r="A1903" t="str">
            <v>001.26.02540</v>
          </cell>
          <cell r="B1903" t="str">
            <v>Fornecimento e Instalação de Niples Duplos De Ferro Galvanizado 1.5 Pol</v>
          </cell>
          <cell r="C1903" t="str">
            <v>UN</v>
          </cell>
          <cell r="D1903">
            <v>6.2938999999999998</v>
          </cell>
        </row>
        <row r="1904">
          <cell r="A1904" t="str">
            <v>001.26.02560</v>
          </cell>
          <cell r="B1904" t="str">
            <v>Fornecimento e Instalação de Niples Duplos De Ferro Galvanizado 1 1/4 Pol</v>
          </cell>
          <cell r="C1904" t="str">
            <v>UN</v>
          </cell>
          <cell r="D1904">
            <v>5.8438999999999997</v>
          </cell>
        </row>
        <row r="1905">
          <cell r="A1905" t="str">
            <v>001.26.02580</v>
          </cell>
          <cell r="B1905" t="str">
            <v>Fornecimento e Instalação de Niples Duplos De Ferro Galvanizado 1 Pol</v>
          </cell>
          <cell r="C1905" t="str">
            <v>UN</v>
          </cell>
          <cell r="D1905">
            <v>4.4751000000000003</v>
          </cell>
        </row>
        <row r="1906">
          <cell r="A1906" t="str">
            <v>001.26.02600</v>
          </cell>
          <cell r="B1906" t="str">
            <v>Fornecimento e Instalação de Niples Duplos De Ferro Galvanizado 3/4 Pol</v>
          </cell>
          <cell r="C1906" t="str">
            <v>UN</v>
          </cell>
          <cell r="D1906">
            <v>3.4251</v>
          </cell>
        </row>
        <row r="1907">
          <cell r="A1907" t="str">
            <v>001.26.02620</v>
          </cell>
          <cell r="B1907" t="str">
            <v>Fornecimento e Instalação de Niples Duplos De Ferro Galvanizado 1/2 Pol</v>
          </cell>
          <cell r="C1907" t="str">
            <v>UN</v>
          </cell>
          <cell r="D1907">
            <v>2.9750999999999999</v>
          </cell>
        </row>
        <row r="1908">
          <cell r="A1908" t="str">
            <v>001.26.02640</v>
          </cell>
          <cell r="B1908" t="str">
            <v>Fornecimento e Instalação de Tampão Ou Cap De Ferro Galvanizado 4 Pol</v>
          </cell>
          <cell r="C1908" t="str">
            <v>UN</v>
          </cell>
          <cell r="D1908">
            <v>23.1814</v>
          </cell>
        </row>
        <row r="1909">
          <cell r="A1909" t="str">
            <v>001.26.02660</v>
          </cell>
          <cell r="B1909" t="str">
            <v>Fornecimento e Instalação de Tampão Ou Cap De Ferro Galvanizado 3 Pol</v>
          </cell>
          <cell r="C1909" t="str">
            <v>UN</v>
          </cell>
          <cell r="D1909">
            <v>16.512599999999999</v>
          </cell>
        </row>
        <row r="1910">
          <cell r="A1910" t="str">
            <v>001.26.02680</v>
          </cell>
          <cell r="B1910" t="str">
            <v>Fornecimento e Instalação de Tampão Ou Cap De Ferro Galvanizado 2.5 Pol</v>
          </cell>
          <cell r="C1910" t="str">
            <v>UN</v>
          </cell>
          <cell r="D1910">
            <v>9.4438999999999993</v>
          </cell>
        </row>
        <row r="1911">
          <cell r="A1911" t="str">
            <v>001.26.02700</v>
          </cell>
          <cell r="B1911" t="str">
            <v>Fornecimento e Instalação de Tampão Ou Cap De Ferro Galvanizado 2 Pol</v>
          </cell>
          <cell r="C1911" t="str">
            <v>UN</v>
          </cell>
          <cell r="D1911">
            <v>7.0251000000000001</v>
          </cell>
        </row>
        <row r="1912">
          <cell r="A1912" t="str">
            <v>001.26.02720</v>
          </cell>
          <cell r="B1912" t="str">
            <v>Fornecimento e Instalação de Tampão Ou Cap De Ferro Galvanizado 1.5 Pol</v>
          </cell>
          <cell r="C1912" t="str">
            <v>UN</v>
          </cell>
          <cell r="D1912">
            <v>5.4751000000000003</v>
          </cell>
        </row>
        <row r="1913">
          <cell r="A1913" t="str">
            <v>001.26.02740</v>
          </cell>
          <cell r="B1913" t="str">
            <v>Fornecimento e Instalação de Tampão Ou Cap De Ferro Galvanizado 1 1/4 Pol</v>
          </cell>
          <cell r="C1913" t="str">
            <v>UN</v>
          </cell>
          <cell r="D1913">
            <v>5.5251000000000001</v>
          </cell>
        </row>
        <row r="1914">
          <cell r="A1914" t="str">
            <v>001.26.02760</v>
          </cell>
          <cell r="B1914" t="str">
            <v>Fornecimento e Instalação de Tampão Ou Cap De Ferro Galvanizado 1 Pol</v>
          </cell>
          <cell r="C1914" t="str">
            <v>UN</v>
          </cell>
          <cell r="D1914">
            <v>3.6063000000000001</v>
          </cell>
        </row>
        <row r="1915">
          <cell r="A1915" t="str">
            <v>001.26.02780</v>
          </cell>
          <cell r="B1915" t="str">
            <v>Fornecimento e Instalação de Tampão Ou Cap De Ferro Galvanizado 3/4 Pol</v>
          </cell>
          <cell r="C1915" t="str">
            <v>UN</v>
          </cell>
          <cell r="D1915">
            <v>2.7363</v>
          </cell>
        </row>
        <row r="1916">
          <cell r="A1916" t="str">
            <v>001.26.02800</v>
          </cell>
          <cell r="B1916" t="str">
            <v>Fornecimento e Instalação de Tampão Ou Cap De Ferro Galvanizado 1/2 Pol</v>
          </cell>
          <cell r="C1916" t="str">
            <v>UN</v>
          </cell>
          <cell r="D1916">
            <v>2.5063</v>
          </cell>
        </row>
        <row r="1917">
          <cell r="A1917" t="str">
            <v>001.27</v>
          </cell>
          <cell r="B1917" t="str">
            <v>INSTALAÇÕES HIDRÁULICAS - VÁLVULAS E REGISTROS</v>
          </cell>
          <cell r="D1917">
            <v>3047.9119999999998</v>
          </cell>
        </row>
        <row r="1918">
          <cell r="A1918" t="str">
            <v>001.27.00020</v>
          </cell>
          <cell r="B1918" t="str">
            <v>Registro de gaveta em acabamento bruto (amarelo) s/ canopla n.1502 4 pol</v>
          </cell>
          <cell r="C1918" t="str">
            <v>UN</v>
          </cell>
          <cell r="D1918">
            <v>266.3886</v>
          </cell>
        </row>
        <row r="1919">
          <cell r="A1919" t="str">
            <v>001.27.00040</v>
          </cell>
          <cell r="B1919" t="str">
            <v>Registro de gaveta em acabamento bruto (amarelo) s/ canopla n.1502 3 pol</v>
          </cell>
          <cell r="C1919" t="str">
            <v>UN</v>
          </cell>
          <cell r="D1919">
            <v>160.45590000000001</v>
          </cell>
        </row>
        <row r="1920">
          <cell r="A1920" t="str">
            <v>001.27.00060</v>
          </cell>
          <cell r="B1920" t="str">
            <v>Registro de gaveta em acabamento bruto (amarelo) s/ canopla n.1502 2 1/2 pol</v>
          </cell>
          <cell r="C1920" t="str">
            <v>UN</v>
          </cell>
          <cell r="D1920">
            <v>144.72550000000001</v>
          </cell>
        </row>
        <row r="1921">
          <cell r="A1921" t="str">
            <v>001.27.00080</v>
          </cell>
          <cell r="B1921" t="str">
            <v>Registro de gaveta em acabamento bruto (amarelo) s/ canopla n.1502 2 pol</v>
          </cell>
          <cell r="C1921" t="str">
            <v>UN</v>
          </cell>
          <cell r="D1921">
            <v>50.418700000000001</v>
          </cell>
        </row>
        <row r="1922">
          <cell r="A1922" t="str">
            <v>001.27.00100</v>
          </cell>
          <cell r="B1922" t="str">
            <v>Registro de gaveta em acabamento bruto (amarelo) s/ canopla n.1502 1 1/2 pol</v>
          </cell>
          <cell r="C1922" t="str">
            <v>UN</v>
          </cell>
          <cell r="D1922">
            <v>33.988300000000002</v>
          </cell>
        </row>
        <row r="1923">
          <cell r="A1923" t="str">
            <v>001.27.00120</v>
          </cell>
          <cell r="B1923" t="str">
            <v>Registro de gaveta em acabamento bruto (amarelo) s/ canopla n.1502 1 1/4 pol</v>
          </cell>
          <cell r="C1923" t="str">
            <v>UN</v>
          </cell>
          <cell r="D1923">
            <v>29.117899999999999</v>
          </cell>
        </row>
        <row r="1924">
          <cell r="A1924" t="str">
            <v>001.27.00140</v>
          </cell>
          <cell r="B1924" t="str">
            <v>Registro de gaveta em acabamento bruto (amarelo) s/ canopla n.1502 1 pol</v>
          </cell>
          <cell r="C1924" t="str">
            <v>UN</v>
          </cell>
          <cell r="D1924">
            <v>21.979900000000001</v>
          </cell>
        </row>
        <row r="1925">
          <cell r="A1925" t="str">
            <v>001.27.00160</v>
          </cell>
          <cell r="B1925" t="str">
            <v>Registro de gaveta em acabamento bruto (amarelo) s/ canopla n.1502 3/4 pol</v>
          </cell>
          <cell r="C1925" t="str">
            <v>UN</v>
          </cell>
          <cell r="D1925">
            <v>16.5091</v>
          </cell>
        </row>
        <row r="1926">
          <cell r="A1926" t="str">
            <v>001.27.00180</v>
          </cell>
          <cell r="B1926" t="str">
            <v>Registro de gaveta em acabamento bruto (amarelo) s/ canopla n.1502 1/2 pol</v>
          </cell>
          <cell r="C1926" t="str">
            <v>UN</v>
          </cell>
          <cell r="D1926">
            <v>30.7287</v>
          </cell>
        </row>
        <row r="1927">
          <cell r="A1927" t="str">
            <v>001.27.00200</v>
          </cell>
          <cell r="B1927" t="str">
            <v>Registro de gaveta cromado linha gemini embutir c/ canopla mod 44 n. 1509 deca 1 1/4 pol</v>
          </cell>
          <cell r="C1927" t="str">
            <v>UN</v>
          </cell>
          <cell r="D1927">
            <v>57.767899999999997</v>
          </cell>
        </row>
        <row r="1928">
          <cell r="A1928" t="str">
            <v>001.27.00220</v>
          </cell>
          <cell r="B1928" t="str">
            <v>Registro de gaveta cromado linha gemini embutir c/ canopla mod 44 n. 1509 deca 1  pol</v>
          </cell>
          <cell r="C1928" t="str">
            <v>UN</v>
          </cell>
          <cell r="D1928">
            <v>47.5899</v>
          </cell>
        </row>
        <row r="1929">
          <cell r="A1929" t="str">
            <v>001.27.00240</v>
          </cell>
          <cell r="B1929" t="str">
            <v>Registro de gaveta cromado linha gemini embutir c/ canopla mod 44 n. 1509 deca 3/4 pol</v>
          </cell>
          <cell r="C1929" t="str">
            <v>UN</v>
          </cell>
          <cell r="D1929">
            <v>41.979100000000003</v>
          </cell>
        </row>
        <row r="1930">
          <cell r="A1930" t="str">
            <v>001.27.00260</v>
          </cell>
          <cell r="B1930" t="str">
            <v>Registro de gaveta cromado linha gemini embutir c/ canopla mod 44 n. 1509 deca  1/2 pol</v>
          </cell>
          <cell r="C1930" t="str">
            <v>UN</v>
          </cell>
          <cell r="D1930">
            <v>38.428699999999999</v>
          </cell>
        </row>
        <row r="1931">
          <cell r="A1931" t="str">
            <v>001.27.00280</v>
          </cell>
          <cell r="B1931" t="str">
            <v>Registro de gaveta cromado linha prata de embutir c/ canopla modelo 50 n 1509 deca 2 pol</v>
          </cell>
          <cell r="C1931" t="str">
            <v>UN</v>
          </cell>
          <cell r="D1931">
            <v>94.628699999999995</v>
          </cell>
        </row>
        <row r="1932">
          <cell r="A1932" t="str">
            <v>001.27.00300</v>
          </cell>
          <cell r="B1932" t="str">
            <v>Registro de gaveta cromado linha prata de embutir c/ canopla modelo 50 n 1509 deca 1 1/2 pol</v>
          </cell>
          <cell r="C1932" t="str">
            <v>UN</v>
          </cell>
          <cell r="D1932">
            <v>94.5959</v>
          </cell>
        </row>
        <row r="1933">
          <cell r="A1933" t="str">
            <v>001.27.00320</v>
          </cell>
          <cell r="B1933" t="str">
            <v>Registro de gaveta cromado linha prata de embutir c/ canopla modelo 50 n 1509 deca 1 1/4 pol</v>
          </cell>
          <cell r="C1933" t="str">
            <v>UN</v>
          </cell>
          <cell r="D1933">
            <v>45.107900000000001</v>
          </cell>
        </row>
        <row r="1934">
          <cell r="A1934" t="str">
            <v>001.27.00340</v>
          </cell>
          <cell r="B1934" t="str">
            <v>Registro de gaveta cromado linha prata de embutir c/ canopla modelo 50 n 1509 deca 1 pol</v>
          </cell>
          <cell r="C1934" t="str">
            <v>UN</v>
          </cell>
          <cell r="D1934">
            <v>31.379899999999999</v>
          </cell>
        </row>
        <row r="1935">
          <cell r="A1935" t="str">
            <v>001.27.00360</v>
          </cell>
          <cell r="B1935" t="str">
            <v>Registro de gaveta cromado linha prata de embutir c/ canopla modelo 50 n 1509 deca 3/4 pol</v>
          </cell>
          <cell r="C1935" t="str">
            <v>UN</v>
          </cell>
          <cell r="D1935">
            <v>52.4191</v>
          </cell>
        </row>
        <row r="1936">
          <cell r="A1936" t="str">
            <v>001.27.00380</v>
          </cell>
          <cell r="B1936" t="str">
            <v>Registro de gaveta cromado linha prata de embutir c/ canopla modelo 50 n 1509 deca 1/2 pol</v>
          </cell>
          <cell r="C1936" t="str">
            <v>UN</v>
          </cell>
          <cell r="D1936">
            <v>26.7987</v>
          </cell>
        </row>
        <row r="1937">
          <cell r="A1937" t="str">
            <v>001.27.00400</v>
          </cell>
          <cell r="B1937" t="str">
            <v>Registro de gaveta  cromado - c 39 - deca c/ canopla 1 1/2 pol</v>
          </cell>
          <cell r="C1937" t="str">
            <v>UN</v>
          </cell>
          <cell r="D1937">
            <v>57.418300000000002</v>
          </cell>
        </row>
        <row r="1938">
          <cell r="A1938" t="str">
            <v>001.27.00420</v>
          </cell>
          <cell r="B1938" t="str">
            <v>Registro de gaveta  cromado - c 39 - deca c/ canopla 1 pol</v>
          </cell>
          <cell r="C1938" t="str">
            <v>UN</v>
          </cell>
          <cell r="D1938">
            <v>34.5199</v>
          </cell>
        </row>
        <row r="1939">
          <cell r="A1939" t="str">
            <v>001.27.00440</v>
          </cell>
          <cell r="B1939" t="str">
            <v>Registro de gaveta  cromado - c 39 - deca c/ canopla 3/4 pol</v>
          </cell>
          <cell r="C1939" t="str">
            <v>UN</v>
          </cell>
          <cell r="D1939">
            <v>29.769100000000002</v>
          </cell>
        </row>
        <row r="1940">
          <cell r="A1940" t="str">
            <v>001.27.00460</v>
          </cell>
          <cell r="B1940" t="str">
            <v>Registro de gaveta c/ acabamento bruto (amarelo) sem canopla abnt - docol -3 pol</v>
          </cell>
          <cell r="C1940" t="str">
            <v>UN</v>
          </cell>
          <cell r="D1940">
            <v>102.6159</v>
          </cell>
        </row>
        <row r="1941">
          <cell r="A1941" t="str">
            <v>001.27.00480</v>
          </cell>
          <cell r="B1941" t="str">
            <v>Registro de gaveta c/ acabamento bruto (amarelo) sem canopla abnt - docol -2pol</v>
          </cell>
          <cell r="C1941" t="str">
            <v>UN</v>
          </cell>
          <cell r="D1941">
            <v>34.2087</v>
          </cell>
        </row>
        <row r="1942">
          <cell r="A1942" t="str">
            <v>001.27.00500</v>
          </cell>
          <cell r="B1942" t="str">
            <v>Registro de gaveta c/ acabamento bruto (amarelo) sem canopla abnt - docol -1 pol</v>
          </cell>
          <cell r="C1942" t="str">
            <v>UN</v>
          </cell>
          <cell r="D1942">
            <v>14.2599</v>
          </cell>
        </row>
        <row r="1943">
          <cell r="A1943" t="str">
            <v>001.27.00520</v>
          </cell>
          <cell r="B1943" t="str">
            <v>Registro de gaveta c/ acabamento bruto (amarelo) sem canopla abnt - docol -3/4 pol</v>
          </cell>
          <cell r="C1943" t="str">
            <v>UN</v>
          </cell>
          <cell r="D1943">
            <v>11.649100000000001</v>
          </cell>
        </row>
        <row r="1944">
          <cell r="A1944" t="str">
            <v>001.27.00540</v>
          </cell>
          <cell r="B1944" t="str">
            <v>Acabamento cromado - linha prata de embutir c/ canopla mod itapema - docol -2 pol</v>
          </cell>
          <cell r="C1944" t="str">
            <v>UN</v>
          </cell>
          <cell r="D1944">
            <v>36.328699999999998</v>
          </cell>
        </row>
        <row r="1945">
          <cell r="A1945" t="str">
            <v>001.27.00560</v>
          </cell>
          <cell r="B1945" t="str">
            <v>Acabamento cromado - linha prata de embutir c/ canopla mod itapema - docol -1 1/2 pol</v>
          </cell>
          <cell r="C1945" t="str">
            <v>UN</v>
          </cell>
          <cell r="D1945">
            <v>37.668700000000001</v>
          </cell>
        </row>
        <row r="1946">
          <cell r="A1946" t="str">
            <v>001.27.00580</v>
          </cell>
          <cell r="B1946" t="str">
            <v>Acabamento cromado - linha prata de embutir c/ canopla mod itapema - docol -1  pol</v>
          </cell>
          <cell r="C1946" t="str">
            <v>UN</v>
          </cell>
          <cell r="D1946">
            <v>28.1599</v>
          </cell>
        </row>
        <row r="1947">
          <cell r="A1947" t="str">
            <v>001.27.00600</v>
          </cell>
          <cell r="B1947" t="str">
            <v>Acabamento cromado - linha prata de embutir c/ canopla mod itapema - docol -3/4  pol</v>
          </cell>
          <cell r="C1947" t="str">
            <v>UN</v>
          </cell>
          <cell r="D1947">
            <v>25.679099999999998</v>
          </cell>
        </row>
        <row r="1948">
          <cell r="A1948" t="str">
            <v>001.27.00620</v>
          </cell>
          <cell r="B1948" t="str">
            <v>Acabamento bruto linha popular 3/4 pol</v>
          </cell>
          <cell r="C1948" t="str">
            <v>UN</v>
          </cell>
          <cell r="D1948">
            <v>15.069100000000001</v>
          </cell>
        </row>
        <row r="1949">
          <cell r="A1949" t="str">
            <v>001.27.00640</v>
          </cell>
          <cell r="B1949" t="str">
            <v>Acabamento bruto linha popular 1/2 pol</v>
          </cell>
          <cell r="C1949" t="str">
            <v>UN</v>
          </cell>
          <cell r="D1949">
            <v>13.469099999999999</v>
          </cell>
        </row>
        <row r="1950">
          <cell r="A1950" t="str">
            <v>001.27.00660</v>
          </cell>
          <cell r="B1950" t="str">
            <v>Registro de gaveta cromado linha italiana de embutir c/ canopla mod. 45 n.1509 1 1/2 pol</v>
          </cell>
          <cell r="C1950" t="str">
            <v>UN</v>
          </cell>
          <cell r="D1950">
            <v>87.9983</v>
          </cell>
        </row>
        <row r="1951">
          <cell r="A1951" t="str">
            <v>001.27.00680</v>
          </cell>
          <cell r="B1951" t="str">
            <v>Registro de gaveta cromado linha italiana de embutir c/ canopla mod. 45 n.1509 1 1/4 pol</v>
          </cell>
          <cell r="C1951" t="str">
            <v>UN</v>
          </cell>
          <cell r="D1951">
            <v>86.707899999999995</v>
          </cell>
        </row>
        <row r="1952">
          <cell r="A1952" t="str">
            <v>001.27.00700</v>
          </cell>
          <cell r="B1952" t="str">
            <v>Registro de gaveta cromado linha italiana de embutir c/ canopla mod. 45 n.1509 1 pol</v>
          </cell>
          <cell r="C1952" t="str">
            <v>UN</v>
          </cell>
          <cell r="D1952">
            <v>60.989899999999999</v>
          </cell>
        </row>
        <row r="1953">
          <cell r="A1953" t="str">
            <v>001.27.00720</v>
          </cell>
          <cell r="B1953" t="str">
            <v>Registro de gaveta cromado linha italiana de embutir c/ canopla mod. 45 n.1509 3/4 pol</v>
          </cell>
          <cell r="C1953" t="str">
            <v>UN</v>
          </cell>
          <cell r="D1953">
            <v>52.459099999999999</v>
          </cell>
        </row>
        <row r="1954">
          <cell r="A1954" t="str">
            <v>001.27.00740</v>
          </cell>
          <cell r="B1954" t="str">
            <v>Registro de gaveta cromado linha italiana de embutir c/ canopla mod. 45 n.1509  1/2 pol</v>
          </cell>
          <cell r="C1954" t="str">
            <v>UN</v>
          </cell>
          <cell r="D1954">
            <v>48.658700000000003</v>
          </cell>
        </row>
        <row r="1955">
          <cell r="A1955" t="str">
            <v>001.27.00760</v>
          </cell>
          <cell r="B1955" t="str">
            <v>Registro de pressão cromado linha gemini de embutir c/ canopla mod 44 n 1416 3/4 pol</v>
          </cell>
          <cell r="C1955" t="str">
            <v>UN</v>
          </cell>
          <cell r="D1955">
            <v>38.6691</v>
          </cell>
        </row>
        <row r="1956">
          <cell r="A1956" t="str">
            <v>001.27.00780</v>
          </cell>
          <cell r="B1956" t="str">
            <v>Registro de pressão cromado linha gemini de embutir c/ canopla mod 44 n 1416 1/2 pol</v>
          </cell>
          <cell r="C1956" t="str">
            <v>UN</v>
          </cell>
          <cell r="D1956">
            <v>37.748699999999999</v>
          </cell>
        </row>
        <row r="1957">
          <cell r="A1957" t="str">
            <v>001.27.00800</v>
          </cell>
          <cell r="B1957" t="str">
            <v>Registro de pressão cromado linha italiana de embutir c/ canopla mod 45 n 1416 deca 3/4 pol</v>
          </cell>
          <cell r="C1957" t="str">
            <v>UN</v>
          </cell>
          <cell r="D1957">
            <v>53.869100000000003</v>
          </cell>
        </row>
        <row r="1958">
          <cell r="A1958" t="str">
            <v>001.27.00820</v>
          </cell>
          <cell r="B1958" t="str">
            <v>Registro de pressão cromado linha italiana de embutir c/ canopla mod 45 n 1416 deca 1/2 pol</v>
          </cell>
          <cell r="C1958" t="str">
            <v>UN</v>
          </cell>
          <cell r="D1958">
            <v>48.238700000000001</v>
          </cell>
        </row>
        <row r="1959">
          <cell r="A1959" t="str">
            <v>001.27.00840</v>
          </cell>
          <cell r="B1959" t="str">
            <v>Registro de pressão cromado linha prata embutir c/ canopla mod 50 n 1416 deca 3/4 pol</v>
          </cell>
          <cell r="C1959" t="str">
            <v>UN</v>
          </cell>
          <cell r="D1959">
            <v>34.769100000000002</v>
          </cell>
        </row>
        <row r="1960">
          <cell r="A1960" t="str">
            <v>001.27.00860</v>
          </cell>
          <cell r="B1960" t="str">
            <v>Registro de pressão cromado linha prata embutir c/ canopla mod 50 n 1416 deca 1/2 pol</v>
          </cell>
          <cell r="C1960" t="str">
            <v>UN</v>
          </cell>
          <cell r="D1960">
            <v>26.0687</v>
          </cell>
        </row>
        <row r="1961">
          <cell r="A1961" t="str">
            <v>001.27.00880</v>
          </cell>
          <cell r="B1961" t="str">
            <v>Registro de pressão cromado de embutir c/ canopla 1193 - c 39 deca 3/4 pol</v>
          </cell>
          <cell r="C1961" t="str">
            <v>UN</v>
          </cell>
          <cell r="D1961">
            <v>38.459099999999999</v>
          </cell>
        </row>
        <row r="1962">
          <cell r="A1962" t="str">
            <v>001.27.00900</v>
          </cell>
          <cell r="B1962" t="str">
            <v>Registro de pressão cromado de embutir c/ canopla 1193 - c 39 deca 1/2 pol</v>
          </cell>
          <cell r="C1962" t="str">
            <v>UN</v>
          </cell>
          <cell r="D1962">
            <v>38.459099999999999</v>
          </cell>
        </row>
        <row r="1963">
          <cell r="A1963" t="str">
            <v>001.27.00920</v>
          </cell>
          <cell r="B1963" t="str">
            <v>Registro de pressão acabamento cromado - linha prata de embutir c/ canopla modelo itapema  - docol - 3/4 pol</v>
          </cell>
          <cell r="C1963" t="str">
            <v>UN</v>
          </cell>
          <cell r="D1963">
            <v>27.659099999999999</v>
          </cell>
        </row>
        <row r="1964">
          <cell r="A1964" t="str">
            <v>001.27.00940</v>
          </cell>
          <cell r="B1964" t="str">
            <v>Registro de pressão acabamento cromado - linha prata de embutir c/ canopla modelo itapema  - docol - 1/2 pol</v>
          </cell>
          <cell r="C1964" t="str">
            <v>UN</v>
          </cell>
          <cell r="D1964">
            <v>27.635100000000001</v>
          </cell>
        </row>
        <row r="1965">
          <cell r="A1965" t="str">
            <v>001.27.00960</v>
          </cell>
          <cell r="B1965" t="str">
            <v>Registro de pressão acabamento simples linha popular 1/2 pol</v>
          </cell>
          <cell r="C1965" t="str">
            <v>UN</v>
          </cell>
          <cell r="D1965">
            <v>20.569099999999999</v>
          </cell>
        </row>
        <row r="1966">
          <cell r="A1966" t="str">
            <v>001.27.00980</v>
          </cell>
          <cell r="B1966" t="str">
            <v>Registro de pressão de 1/2"""""""""""""""""""""""""""""""" (chuveiro) (mic)</v>
          </cell>
          <cell r="C1966" t="str">
            <v>UN</v>
          </cell>
          <cell r="D1966">
            <v>38.459099999999999</v>
          </cell>
        </row>
        <row r="1967">
          <cell r="A1967" t="str">
            <v>001.27.01000</v>
          </cell>
          <cell r="B1967" t="str">
            <v>Válvula de descarga hydra c/ embolo de bronze n.2515 canopla lisa cromada deca 1 1/2 pol</v>
          </cell>
          <cell r="C1967" t="str">
            <v>UN</v>
          </cell>
          <cell r="D1967">
            <v>91.990899999999996</v>
          </cell>
        </row>
        <row r="1968">
          <cell r="A1968" t="str">
            <v>001.27.01020</v>
          </cell>
          <cell r="B1968" t="str">
            <v>Válvula de descarga hydra c/ embolo de bronze n.2515 canopla lisa cromada deca 1 1/4 pol</v>
          </cell>
          <cell r="C1968" t="str">
            <v>UN</v>
          </cell>
          <cell r="D1968">
            <v>94.930899999999994</v>
          </cell>
        </row>
        <row r="1969">
          <cell r="A1969" t="str">
            <v>001.27.01040</v>
          </cell>
          <cell r="B1969" t="str">
            <v>Válvula de descarga hydra master n.2530 cromada deca 1 1/2 pol</v>
          </cell>
          <cell r="C1969" t="str">
            <v>UN</v>
          </cell>
          <cell r="D1969">
            <v>71.971299999999999</v>
          </cell>
        </row>
        <row r="1970">
          <cell r="A1970" t="str">
            <v>001.27.01060</v>
          </cell>
          <cell r="B1970" t="str">
            <v>Válvula de descarga hydra master n.2530 cromada deca 1 1/4 pol</v>
          </cell>
          <cell r="C1970" t="str">
            <v>UN</v>
          </cell>
          <cell r="D1970">
            <v>71.940899999999999</v>
          </cell>
        </row>
        <row r="1971">
          <cell r="A1971" t="str">
            <v>001.27.01080</v>
          </cell>
          <cell r="B1971" t="str">
            <v>Válvula de descarga docol-stander 1 1/2 pol</v>
          </cell>
          <cell r="C1971" t="str">
            <v>UN</v>
          </cell>
          <cell r="D1971">
            <v>60.031300000000002</v>
          </cell>
        </row>
        <row r="1972">
          <cell r="A1972" t="str">
            <v>001.27.01100</v>
          </cell>
          <cell r="B1972" t="str">
            <v>Válvula p/ pia cromada deca n.1600 p/ lav 1x2 pol</v>
          </cell>
          <cell r="C1972" t="str">
            <v>UN</v>
          </cell>
          <cell r="D1972">
            <v>32.618699999999997</v>
          </cell>
        </row>
        <row r="1973">
          <cell r="A1973" t="str">
            <v>001.27.01120</v>
          </cell>
          <cell r="B1973" t="str">
            <v>Valvula p/pia americana cromada n.1623 marca deca 1.5x3 3/4 pol</v>
          </cell>
          <cell r="C1973" t="str">
            <v>UN</v>
          </cell>
          <cell r="D1973">
            <v>58.818199999999997</v>
          </cell>
        </row>
        <row r="1974">
          <cell r="A1974" t="str">
            <v>001.27.01140</v>
          </cell>
          <cell r="B1974" t="str">
            <v>Válvula de pvc para pia</v>
          </cell>
          <cell r="C1974" t="str">
            <v>UN</v>
          </cell>
          <cell r="D1974">
            <v>5.9503000000000004</v>
          </cell>
        </row>
        <row r="1975">
          <cell r="A1975" t="str">
            <v>001.27.01160</v>
          </cell>
          <cell r="B1975" t="str">
            <v>Válvula para lavatorio</v>
          </cell>
          <cell r="C1975" t="str">
            <v>UN</v>
          </cell>
          <cell r="D1975">
            <v>6.4503000000000004</v>
          </cell>
        </row>
        <row r="1976">
          <cell r="A1976" t="str">
            <v>001.27.01180</v>
          </cell>
          <cell r="B1976" t="str">
            <v>Válvula para pia n. 1600 - steves 1 x 2 pol</v>
          </cell>
          <cell r="C1976" t="str">
            <v>UN</v>
          </cell>
          <cell r="D1976">
            <v>29.688700000000001</v>
          </cell>
        </row>
        <row r="1977">
          <cell r="A1977" t="str">
            <v>001.27.01200</v>
          </cell>
          <cell r="B1977" t="str">
            <v>Válvula para pia n. 1600 - steves 1 1/2 x 3.3/4</v>
          </cell>
          <cell r="C1977" t="str">
            <v>UN</v>
          </cell>
          <cell r="D1977">
            <v>30.278700000000001</v>
          </cell>
        </row>
        <row r="1978">
          <cell r="A1978" t="str">
            <v>001.28</v>
          </cell>
          <cell r="B1978" t="str">
            <v>INSTALAÇÕES HIDRÁULICAS - LOUÇAS E METAIS</v>
          </cell>
          <cell r="D1978">
            <v>7156.9705999999996</v>
          </cell>
        </row>
        <row r="1979">
          <cell r="A1979" t="str">
            <v>001.28.00020</v>
          </cell>
          <cell r="B1979" t="str">
            <v>Fornecimento e instalação de torneira de pressão para pia marca deca ref. c 1157 comprimento 210mm com arejador</v>
          </cell>
          <cell r="C1979" t="str">
            <v>UN</v>
          </cell>
          <cell r="D1979">
            <v>70.435400000000001</v>
          </cell>
        </row>
        <row r="1980">
          <cell r="A1980" t="str">
            <v>001.28.00040</v>
          </cell>
          <cell r="B1980" t="str">
            <v>Fornecimento e instalação de torneira de pressão para pia marca deca ref. 1158 c 39 de 1/2 pol</v>
          </cell>
          <cell r="C1980" t="str">
            <v>UN</v>
          </cell>
          <cell r="D1980">
            <v>44.525399999999998</v>
          </cell>
        </row>
        <row r="1981">
          <cell r="A1981" t="str">
            <v>001.28.00060</v>
          </cell>
          <cell r="B1981" t="str">
            <v>Fornecimento e instalação de torneira de pressão para pia marca deca ref. 1158 c 39 de 3/4 pol</v>
          </cell>
          <cell r="C1981" t="str">
            <v>UN</v>
          </cell>
          <cell r="D1981">
            <v>50.575400000000002</v>
          </cell>
        </row>
        <row r="1982">
          <cell r="A1982" t="str">
            <v>001.28.00080</v>
          </cell>
          <cell r="B1982" t="str">
            <v>Fornecimento e instalação de torneira de pressão para pia marca deca ref. 1159 c 39 de 1/2 pol com arejador</v>
          </cell>
          <cell r="C1982" t="str">
            <v>UN</v>
          </cell>
          <cell r="D1982">
            <v>58.635399999999997</v>
          </cell>
        </row>
        <row r="1983">
          <cell r="A1983" t="str">
            <v>001.28.00100</v>
          </cell>
          <cell r="B1983" t="str">
            <v>Fornecimento e instalação de torneira de pressão para pia marca deca ref. 1159 c 39 de 3/4 pol com arejador</v>
          </cell>
          <cell r="C1983" t="str">
            <v>UN</v>
          </cell>
          <cell r="D1983">
            <v>58.635399999999997</v>
          </cell>
        </row>
        <row r="1984">
          <cell r="A1984" t="str">
            <v>001.28.00120</v>
          </cell>
          <cell r="B1984" t="str">
            <v>Fornecimento e instalação de torneira de pressão para pia marca deca ref. 1167 c 40 tip mesa bica móvel</v>
          </cell>
          <cell r="C1984" t="str">
            <v>UN</v>
          </cell>
          <cell r="D1984">
            <v>82.535399999999996</v>
          </cell>
        </row>
        <row r="1985">
          <cell r="A1985" t="str">
            <v>001.28.00140</v>
          </cell>
          <cell r="B1985" t="str">
            <v>Fornecimento e instalação de torneira de pressão para pia marca deca cromada - tipo parede - bica móvelc 50 1168</v>
          </cell>
          <cell r="C1985" t="str">
            <v>UN</v>
          </cell>
          <cell r="D1985">
            <v>81.635400000000004</v>
          </cell>
        </row>
        <row r="1986">
          <cell r="A1986" t="str">
            <v>001.28.00160</v>
          </cell>
          <cell r="B1986" t="str">
            <v>Fornecimento e instalação de torneira de pressao p/ pia de cozinha - tipo parede - c 39 - bica móvel de 3/4 pol</v>
          </cell>
          <cell r="C1986" t="str">
            <v>UN</v>
          </cell>
          <cell r="D1986">
            <v>51.5154</v>
          </cell>
        </row>
        <row r="1987">
          <cell r="A1987" t="str">
            <v>001.28.00180</v>
          </cell>
          <cell r="B1987" t="str">
            <v>Fornecmento e instalação de torneira de pressão para pia de cozinha - docol mod. 1158 - 1/2 pol</v>
          </cell>
          <cell r="C1987" t="str">
            <v>UN</v>
          </cell>
          <cell r="D1987">
            <v>37.7254</v>
          </cell>
        </row>
        <row r="1988">
          <cell r="A1988" t="str">
            <v>001.28.00200</v>
          </cell>
          <cell r="B1988" t="str">
            <v>Fornecimento e instalação de torneira de pressão para pia de cozinha mod. 1544 - tipo parede - bica movel</v>
          </cell>
          <cell r="C1988" t="str">
            <v>UN</v>
          </cell>
          <cell r="D1988">
            <v>84.735399999999998</v>
          </cell>
        </row>
        <row r="1989">
          <cell r="A1989" t="str">
            <v>001.28.00220</v>
          </cell>
          <cell r="B1989" t="str">
            <v>Fornecimento e instalação de torneira de pressão para pia de cozinha - marca docol mod. 1158 - 3/4 pol</v>
          </cell>
          <cell r="C1989" t="str">
            <v>UN</v>
          </cell>
          <cell r="D1989">
            <v>37.675400000000003</v>
          </cell>
        </row>
        <row r="1990">
          <cell r="A1990" t="str">
            <v>001.28.00240</v>
          </cell>
          <cell r="B1990" t="str">
            <v>Fornecimento e instalação de torneira de pressão para pia de cozinha  - marca docol  mod. 1542 - tipo misturador p/ pia</v>
          </cell>
          <cell r="C1990" t="str">
            <v>UN</v>
          </cell>
          <cell r="D1990">
            <v>382.75689999999997</v>
          </cell>
        </row>
        <row r="1991">
          <cell r="A1991" t="str">
            <v>001.28.00260</v>
          </cell>
          <cell r="B1991" t="str">
            <v>Fornecimento e instalação de torneira de pvc para pia</v>
          </cell>
          <cell r="C1991" t="str">
            <v>UN</v>
          </cell>
          <cell r="D1991">
            <v>4.8796999999999997</v>
          </cell>
        </row>
        <row r="1992">
          <cell r="A1992" t="str">
            <v>001.28.00280</v>
          </cell>
          <cell r="B1992" t="str">
            <v>Fornecimento e instalação de torneira de pressão para lavatório marca deca ref. 1193 c 39 de 1/2 pol</v>
          </cell>
          <cell r="C1992" t="str">
            <v>UN</v>
          </cell>
          <cell r="D1992">
            <v>85.535399999999996</v>
          </cell>
        </row>
        <row r="1993">
          <cell r="A1993" t="str">
            <v>001.28.00300</v>
          </cell>
          <cell r="B1993" t="str">
            <v>Fornecimento e instalação de torneira de pressão para lavatório marca deca ref. 1194 c 45 de 1/2 pol</v>
          </cell>
          <cell r="C1993" t="str">
            <v>UN</v>
          </cell>
          <cell r="D1993">
            <v>117.1254</v>
          </cell>
        </row>
        <row r="1994">
          <cell r="A1994" t="str">
            <v>001.28.00320</v>
          </cell>
          <cell r="B1994" t="str">
            <v>Fornecimento e instalação de torneira de pressão para lavatório marca deca ref. 1199 c 50 de 1/2 pol</v>
          </cell>
          <cell r="C1994" t="str">
            <v>UN</v>
          </cell>
          <cell r="D1994">
            <v>62.145400000000002</v>
          </cell>
        </row>
        <row r="1995">
          <cell r="A1995" t="str">
            <v>001.28.00340</v>
          </cell>
          <cell r="B1995" t="str">
            <v>Fornecimento e instalação de torneira de pressão para lavatório 1/2 pol - mod. itapema - docol</v>
          </cell>
          <cell r="C1995" t="str">
            <v>UN</v>
          </cell>
          <cell r="D1995">
            <v>37.935400000000001</v>
          </cell>
        </row>
        <row r="1996">
          <cell r="A1996" t="str">
            <v>001.28.00360</v>
          </cell>
          <cell r="B1996" t="str">
            <v>Fornecimento e instalação de torneira de pvc para lavatorio</v>
          </cell>
          <cell r="C1996" t="str">
            <v>UN</v>
          </cell>
          <cell r="D1996">
            <v>7.2797000000000001</v>
          </cell>
        </row>
        <row r="1997">
          <cell r="A1997" t="str">
            <v>001.28.00380</v>
          </cell>
          <cell r="B1997" t="str">
            <v>Fornecimento e instalação de torneira para uso geral marca deca ref. 1152 c 39 de 1/2 pol</v>
          </cell>
          <cell r="C1997" t="str">
            <v>UN</v>
          </cell>
          <cell r="D1997">
            <v>37.255400000000002</v>
          </cell>
        </row>
        <row r="1998">
          <cell r="A1998" t="str">
            <v>001.28.00400</v>
          </cell>
          <cell r="B1998" t="str">
            <v>Fornecimento e instalação de torneira para uso geral marca deca ref. 1152 c 39 de 3/4 pol</v>
          </cell>
          <cell r="C1998" t="str">
            <v>UN</v>
          </cell>
          <cell r="D1998">
            <v>40.315399999999997</v>
          </cell>
        </row>
        <row r="1999">
          <cell r="A1999" t="str">
            <v>001.28.00420</v>
          </cell>
          <cell r="B1999" t="str">
            <v>Fornecimento e instalação de torneira para uso geral marca deca ref. 1154 c 39 de 1/2 pol com arejador</v>
          </cell>
          <cell r="C1999" t="str">
            <v>UN</v>
          </cell>
          <cell r="D1999">
            <v>43.685400000000001</v>
          </cell>
        </row>
        <row r="2000">
          <cell r="A2000" t="str">
            <v>001.28.00440</v>
          </cell>
          <cell r="B2000" t="str">
            <v>Fornecimento e instalação de torneira para uso geral marca deca ref. 1154 c 39 de 3/4 pol com arejador</v>
          </cell>
          <cell r="C2000" t="str">
            <v>UN</v>
          </cell>
          <cell r="D2000">
            <v>43.685400000000001</v>
          </cell>
        </row>
        <row r="2001">
          <cell r="A2001" t="str">
            <v>001.28.00460</v>
          </cell>
          <cell r="B2001" t="str">
            <v>Fornecimento e instalação de torneira para uso geral marca deca metalica para jardim com adaptador para mangueira</v>
          </cell>
          <cell r="C2001" t="str">
            <v>UN</v>
          </cell>
          <cell r="D2001">
            <v>29.885400000000001</v>
          </cell>
        </row>
        <row r="2002">
          <cell r="A2002" t="str">
            <v>001.28.00480</v>
          </cell>
          <cell r="B2002" t="str">
            <v>Fornecimento e instalação de torneira para uso geral marca deca ref. 1153 c 39 com adaptador para mangueira</v>
          </cell>
          <cell r="C2002" t="str">
            <v>UN</v>
          </cell>
          <cell r="D2002">
            <v>47.367600000000003</v>
          </cell>
        </row>
        <row r="2003">
          <cell r="A2003" t="str">
            <v>001.28.00500</v>
          </cell>
          <cell r="B2003" t="str">
            <v>Fornecimento e instalação de torneira para uso geral marca deca ref. 1153 c 39 de 1/2 pol (maq tauque)</v>
          </cell>
          <cell r="C2003" t="str">
            <v>UN</v>
          </cell>
          <cell r="D2003">
            <v>40.645400000000002</v>
          </cell>
        </row>
        <row r="2004">
          <cell r="A2004" t="str">
            <v>001.28.00520</v>
          </cell>
          <cell r="B2004" t="str">
            <v>Fornecimento e instalação de torneira p/ uso geral metálica p/ jardim c/ adaptador p/ mangueira mod.1130 -</v>
          </cell>
          <cell r="C2004" t="str">
            <v>UN</v>
          </cell>
          <cell r="D2004">
            <v>39.525399999999998</v>
          </cell>
        </row>
        <row r="2005">
          <cell r="A2005" t="str">
            <v>001.28.00540</v>
          </cell>
          <cell r="B2005" t="str">
            <v>Fornecimento e instalação de torneira p/ uso geral  metálica p/ tanque mod. 1130</v>
          </cell>
          <cell r="C2005" t="str">
            <v>UN</v>
          </cell>
          <cell r="D2005">
            <v>39.525399999999998</v>
          </cell>
        </row>
        <row r="2006">
          <cell r="A2006" t="str">
            <v>001.28.00560</v>
          </cell>
          <cell r="B2006" t="str">
            <v>Fornecimento e instalação de torneira de pvc para uso geral</v>
          </cell>
          <cell r="C2006" t="str">
            <v>UN</v>
          </cell>
          <cell r="D2006">
            <v>4.8796999999999997</v>
          </cell>
        </row>
        <row r="2007">
          <cell r="A2007" t="str">
            <v>001.28.00580</v>
          </cell>
          <cell r="B2007" t="str">
            <v>Fornecimento e instalação de torneira de pvc para tanque</v>
          </cell>
          <cell r="C2007" t="str">
            <v>UN</v>
          </cell>
          <cell r="D2007">
            <v>5.2797000000000001</v>
          </cell>
        </row>
        <row r="2008">
          <cell r="A2008" t="str">
            <v>001.28.00600</v>
          </cell>
          <cell r="B2008" t="str">
            <v>Fornecimento e instalação de ducha manual linha prata mod. c-50</v>
          </cell>
          <cell r="C2008" t="str">
            <v>UN</v>
          </cell>
          <cell r="D2008">
            <v>77.6554</v>
          </cell>
        </row>
        <row r="2009">
          <cell r="A2009" t="str">
            <v>001.28.00620</v>
          </cell>
          <cell r="B2009" t="str">
            <v>Fornecimento e instalação de lavatório c/ coluna mondiale - azalia - celite</v>
          </cell>
          <cell r="C2009" t="str">
            <v>UN</v>
          </cell>
          <cell r="D2009">
            <v>142.24780000000001</v>
          </cell>
        </row>
        <row r="2010">
          <cell r="A2010" t="str">
            <v>001.28.00640</v>
          </cell>
          <cell r="B2010" t="str">
            <v>Fornecimento e instalação de lavatório de plastico</v>
          </cell>
          <cell r="C2010" t="str">
            <v>UN</v>
          </cell>
          <cell r="D2010">
            <v>38.297800000000002</v>
          </cell>
        </row>
        <row r="2011">
          <cell r="A2011" t="str">
            <v>001.28.00660</v>
          </cell>
          <cell r="B2011" t="str">
            <v>Fornecimento e instalação de lavatório de louça l. ravena deca ou similar c/ col. na cor normal inclusive acessórios de fixação</v>
          </cell>
          <cell r="C2011" t="str">
            <v>UN</v>
          </cell>
          <cell r="D2011">
            <v>94.047799999999995</v>
          </cell>
        </row>
        <row r="2012">
          <cell r="A2012" t="str">
            <v>001.28.00680</v>
          </cell>
          <cell r="B2012" t="str">
            <v>Fornecimento e instalação de lavatório de louça ravena deca ou similar s/ coluna na cor normal inclusive acessorios de fixacao</v>
          </cell>
          <cell r="C2012" t="str">
            <v>UN</v>
          </cell>
          <cell r="D2012">
            <v>69.517799999999994</v>
          </cell>
        </row>
        <row r="2013">
          <cell r="A2013" t="str">
            <v>001.28.00700</v>
          </cell>
          <cell r="B2013" t="str">
            <v>Fornecimento e instalação de lavatório de louça branca com coluna de primeira inclusive acessórios de fixação</v>
          </cell>
          <cell r="C2013" t="str">
            <v>UN</v>
          </cell>
          <cell r="D2013">
            <v>75.647800000000004</v>
          </cell>
        </row>
        <row r="2014">
          <cell r="A2014" t="str">
            <v>001.28.00720</v>
          </cell>
          <cell r="B2014" t="str">
            <v>Fornecimento e instalação de lavatório de louça branca sem coluna de primeira inclusive acessórios de fixação</v>
          </cell>
          <cell r="C2014" t="str">
            <v>UN</v>
          </cell>
          <cell r="D2014">
            <v>52.437800000000003</v>
          </cell>
        </row>
        <row r="2015">
          <cell r="A2015" t="str">
            <v>001.28.00740</v>
          </cell>
          <cell r="B2015" t="str">
            <v>Fornecimento e instalação de cuba de sobrepor mod. l 35 da deca</v>
          </cell>
          <cell r="C2015" t="str">
            <v>UN</v>
          </cell>
          <cell r="D2015">
            <v>87.887799999999999</v>
          </cell>
        </row>
        <row r="2016">
          <cell r="A2016" t="str">
            <v>001.28.00760</v>
          </cell>
          <cell r="B2016" t="str">
            <v>Fornecimento e instalação de cuba de embutir(oval)mod.l.33</v>
          </cell>
          <cell r="C2016" t="str">
            <v>UN</v>
          </cell>
          <cell r="D2016">
            <v>53.590899999999998</v>
          </cell>
        </row>
        <row r="2017">
          <cell r="A2017" t="str">
            <v>001.28.00780</v>
          </cell>
          <cell r="B2017" t="str">
            <v>Fornecimento e instalação de cuba de louça para bancadas e lavatório de embutir oval 49.00 x 36.00 cm</v>
          </cell>
          <cell r="C2017" t="str">
            <v>UN</v>
          </cell>
          <cell r="D2017">
            <v>50.102400000000003</v>
          </cell>
        </row>
        <row r="2018">
          <cell r="A2018" t="str">
            <v>001.28.00800</v>
          </cell>
          <cell r="B2018" t="str">
            <v>Fornecimento e instalação de louça sanitária composto por bacia, lavatório com coluna da linha ravena deca ou similar inclusive assento ap oo nas cores normais</v>
          </cell>
          <cell r="C2018" t="str">
            <v>CJ</v>
          </cell>
          <cell r="D2018">
            <v>284.02440000000001</v>
          </cell>
        </row>
        <row r="2019">
          <cell r="A2019" t="str">
            <v>001.28.00820</v>
          </cell>
          <cell r="B2019" t="str">
            <v>Fornecimento e instalação de bacia santária de louça ravena deca ou similar na cor normal inclusive acessorios de fixacao</v>
          </cell>
          <cell r="C2019" t="str">
            <v>UN</v>
          </cell>
          <cell r="D2019">
            <v>102.68980000000001</v>
          </cell>
        </row>
        <row r="2020">
          <cell r="A2020" t="str">
            <v>001.28.00840</v>
          </cell>
          <cell r="B2020" t="str">
            <v>Fornecimento e instalação de bacia sanitária modelo ravena com cx. acoplada</v>
          </cell>
          <cell r="C2020" t="str">
            <v>UN</v>
          </cell>
          <cell r="D2020">
            <v>179.29169999999999</v>
          </cell>
        </row>
        <row r="2021">
          <cell r="A2021" t="str">
            <v>001.28.00860</v>
          </cell>
          <cell r="B2021" t="str">
            <v>Fornecimento e instalação de bacia sanitária modelo vogue  com cx. acoplada</v>
          </cell>
          <cell r="C2021" t="str">
            <v>UN</v>
          </cell>
          <cell r="D2021">
            <v>179.29169999999999</v>
          </cell>
        </row>
        <row r="2022">
          <cell r="A2022" t="str">
            <v>001.28.00880</v>
          </cell>
          <cell r="B2022" t="str">
            <v>Fornecimento e instalação de bacia sanitária de louça - celite mondiale marfim - incl. acessório para fixação</v>
          </cell>
          <cell r="C2022" t="str">
            <v>UN</v>
          </cell>
          <cell r="D2022">
            <v>124.48480000000001</v>
          </cell>
        </row>
        <row r="2023">
          <cell r="A2023" t="str">
            <v>001.28.00900</v>
          </cell>
          <cell r="B2023" t="str">
            <v>Fornecimento e instalação de bacia sanitária de louça - celite azalia com acessórios</v>
          </cell>
          <cell r="C2023" t="str">
            <v>UN</v>
          </cell>
          <cell r="D2023">
            <v>96.204800000000006</v>
          </cell>
        </row>
        <row r="2024">
          <cell r="A2024" t="str">
            <v>001.28.00920</v>
          </cell>
          <cell r="B2024" t="str">
            <v>Fornecimento e instalação de caixa de descarga para acoplar em bacia sanitaria</v>
          </cell>
          <cell r="C2024" t="str">
            <v>UN</v>
          </cell>
          <cell r="D2024">
            <v>110.5909</v>
          </cell>
        </row>
        <row r="2025">
          <cell r="A2025" t="str">
            <v>001.28.00940</v>
          </cell>
          <cell r="B2025" t="str">
            <v>Fornecimento e instalação de assento plastico p/ vaso sanitario, """"""""""""""""""""""""""""""""astra"""""""""""""""""""""""""""""""" ou similar</v>
          </cell>
          <cell r="C2025" t="str">
            <v>UN</v>
          </cell>
          <cell r="D2025">
            <v>15.052199999999999</v>
          </cell>
        </row>
        <row r="2026">
          <cell r="A2026" t="str">
            <v>001.28.00960</v>
          </cell>
          <cell r="B2026" t="str">
            <v>Fornecimento e instalação de assento celite mondiale - 090 gelo polar</v>
          </cell>
          <cell r="C2026" t="str">
            <v>UN</v>
          </cell>
          <cell r="D2026">
            <v>118.7522</v>
          </cell>
        </row>
        <row r="2027">
          <cell r="A2027" t="str">
            <v>001.28.00980</v>
          </cell>
          <cell r="B2027" t="str">
            <v>Fornecimento e instalação de assento azalia - celite</v>
          </cell>
          <cell r="C2027" t="str">
            <v>UN</v>
          </cell>
          <cell r="D2027">
            <v>28.0822</v>
          </cell>
        </row>
        <row r="2028">
          <cell r="A2028" t="str">
            <v>001.28.01000</v>
          </cell>
          <cell r="B2028" t="str">
            <v>Fornecimento e instalação de bidê de louça linha ravena deca ou similar na cor normal inclusive acessórios de fixação</v>
          </cell>
          <cell r="C2028" t="str">
            <v>UN</v>
          </cell>
          <cell r="D2028">
            <v>83.797799999999995</v>
          </cell>
        </row>
        <row r="2029">
          <cell r="A2029" t="str">
            <v>001.28.01020</v>
          </cell>
          <cell r="B2029" t="str">
            <v>Fornecimento e instalação de bidê de louça branca inclusive acessórios de fixação</v>
          </cell>
          <cell r="C2029" t="str">
            <v>UN</v>
          </cell>
          <cell r="D2029">
            <v>75.947800000000001</v>
          </cell>
        </row>
        <row r="2030">
          <cell r="A2030" t="str">
            <v>001.28.01040</v>
          </cell>
          <cell r="B2030" t="str">
            <v>Fornecimento e instalação de mictório de aço inoxidável de 1.20 m inclusive acessórios de fixação</v>
          </cell>
          <cell r="C2030" t="str">
            <v>UN</v>
          </cell>
          <cell r="D2030">
            <v>380.52390000000003</v>
          </cell>
        </row>
        <row r="2031">
          <cell r="A2031" t="str">
            <v>001.28.01060</v>
          </cell>
          <cell r="B2031" t="str">
            <v>Fornecimento e instalação de sifão de metal cromado de 1 x 1.5 pol para lavatório ou pia</v>
          </cell>
          <cell r="C2031" t="str">
            <v>UN</v>
          </cell>
          <cell r="D2031">
            <v>75.429100000000005</v>
          </cell>
        </row>
        <row r="2032">
          <cell r="A2032" t="str">
            <v>001.28.01080</v>
          </cell>
          <cell r="B2032" t="str">
            <v>Fornecimento e instalação de sifão de metal cromado de 1.5 x 1.5 pol para pia americana</v>
          </cell>
          <cell r="C2032" t="str">
            <v>UN</v>
          </cell>
          <cell r="D2032">
            <v>79.639099999999999</v>
          </cell>
        </row>
        <row r="2033">
          <cell r="A2033" t="str">
            <v>001.28.01100</v>
          </cell>
          <cell r="B2033" t="str">
            <v>Fornecimento e instalação de sifão de metal cromado de 2 x 1 pol para mictorio</v>
          </cell>
          <cell r="C2033" t="str">
            <v>UN</v>
          </cell>
          <cell r="D2033">
            <v>85.339100000000002</v>
          </cell>
        </row>
        <row r="2034">
          <cell r="A2034" t="str">
            <v>001.28.01120</v>
          </cell>
          <cell r="B2034" t="str">
            <v>Fornecimento e instalação de sifão de metal cromado de 1.1/4 x 1.5 pol para tanque</v>
          </cell>
          <cell r="C2034" t="str">
            <v>UN</v>
          </cell>
          <cell r="D2034">
            <v>79.909099999999995</v>
          </cell>
        </row>
        <row r="2035">
          <cell r="A2035" t="str">
            <v>001.28.01140</v>
          </cell>
          <cell r="B2035" t="str">
            <v>Fornecimento e instalação de sifão de pvc cromado de 1 x 1.5 pol para pia ou lavatorio</v>
          </cell>
          <cell r="C2035" t="str">
            <v>UN</v>
          </cell>
          <cell r="D2035">
            <v>8.9870000000000001</v>
          </cell>
        </row>
        <row r="2036">
          <cell r="A2036" t="str">
            <v>001.28.01160</v>
          </cell>
          <cell r="B2036" t="str">
            <v>Fornecimento e instalação de porta papel de louça  com rolete</v>
          </cell>
          <cell r="C2036" t="str">
            <v>UN</v>
          </cell>
          <cell r="D2036">
            <v>20.046299999999999</v>
          </cell>
        </row>
        <row r="2037">
          <cell r="A2037" t="str">
            <v>001.28.01180</v>
          </cell>
          <cell r="B2037" t="str">
            <v>Fornecimento e instalação de porta papel de metal cromado, fixado com bucha e parafuso</v>
          </cell>
          <cell r="C2037" t="str">
            <v>UN</v>
          </cell>
          <cell r="D2037">
            <v>13.391400000000001</v>
          </cell>
        </row>
        <row r="2038">
          <cell r="A2038" t="str">
            <v>001.28.01200</v>
          </cell>
          <cell r="B2038" t="str">
            <v>Fornecimento e instalação de porta papel de louça c/ rolete - celite</v>
          </cell>
          <cell r="C2038" t="str">
            <v>UN</v>
          </cell>
          <cell r="D2038">
            <v>28.372499999999999</v>
          </cell>
        </row>
        <row r="2039">
          <cell r="A2039" t="str">
            <v>001.28.01220</v>
          </cell>
          <cell r="B2039" t="str">
            <v>Fornecimento e instalação de porta papel de louça c/ rolete elegant - celite</v>
          </cell>
          <cell r="C2039" t="str">
            <v>UN</v>
          </cell>
          <cell r="D2039">
            <v>34.762500000000003</v>
          </cell>
        </row>
        <row r="2040">
          <cell r="A2040" t="str">
            <v>001.28.01240</v>
          </cell>
          <cell r="B2040" t="str">
            <v>Fornecimento e instalação de saboneteira de louça de primeira sem alça</v>
          </cell>
          <cell r="C2040" t="str">
            <v>UN</v>
          </cell>
          <cell r="D2040">
            <v>19.878499999999999</v>
          </cell>
        </row>
        <row r="2041">
          <cell r="A2041" t="str">
            <v>001.28.01260</v>
          </cell>
          <cell r="B2041" t="str">
            <v>Fornecimento e instalação de saboneteira para sabão líquido marca lalekla ou similar</v>
          </cell>
          <cell r="C2041" t="str">
            <v>UN</v>
          </cell>
          <cell r="D2041">
            <v>24.893899999999999</v>
          </cell>
        </row>
        <row r="2042">
          <cell r="A2042" t="str">
            <v>001.28.01280</v>
          </cell>
          <cell r="B2042" t="str">
            <v>Fornecimento e instalação de saboneteira de metal cromado, fixada com bucha e parafuso</v>
          </cell>
          <cell r="C2042" t="str">
            <v>UN</v>
          </cell>
          <cell r="D2042">
            <v>10.0814</v>
          </cell>
        </row>
        <row r="2043">
          <cell r="A2043" t="str">
            <v>001.28.01300</v>
          </cell>
          <cell r="B2043" t="str">
            <v>Fornecimento e instalação de porta toalha de louça tipo cabide simples</v>
          </cell>
          <cell r="C2043" t="str">
            <v>UN</v>
          </cell>
          <cell r="D2043">
            <v>13.7563</v>
          </cell>
        </row>
        <row r="2044">
          <cell r="A2044" t="str">
            <v>001.28.01320</v>
          </cell>
          <cell r="B2044" t="str">
            <v>Fornecimento e instalação de porta toalha de louça c/ barra de plástico</v>
          </cell>
          <cell r="C2044" t="str">
            <v>UN</v>
          </cell>
          <cell r="D2044">
            <v>28.372499999999999</v>
          </cell>
        </row>
        <row r="2045">
          <cell r="A2045" t="str">
            <v>001.28.01340</v>
          </cell>
          <cell r="B2045" t="str">
            <v>Fornecimento e instalação de porta toalha metálica para papel marca lalekla ou similar</v>
          </cell>
          <cell r="C2045" t="str">
            <v>UN</v>
          </cell>
          <cell r="D2045">
            <v>31.863900000000001</v>
          </cell>
        </row>
        <row r="2046">
          <cell r="A2046" t="str">
            <v>001.28.01360</v>
          </cell>
          <cell r="B2046" t="str">
            <v>Fornecimento e instalação de toalheiro - celite - argola</v>
          </cell>
          <cell r="C2046" t="str">
            <v>UN</v>
          </cell>
          <cell r="D2046">
            <v>26.036300000000001</v>
          </cell>
        </row>
        <row r="2047">
          <cell r="A2047" t="str">
            <v>001.28.01380</v>
          </cell>
          <cell r="B2047" t="str">
            <v>Fornecimento e instalação de cabide de louça simples - celite</v>
          </cell>
          <cell r="C2047" t="str">
            <v>UND</v>
          </cell>
          <cell r="D2047">
            <v>33.214799999999997</v>
          </cell>
        </row>
        <row r="2048">
          <cell r="A2048" t="str">
            <v>001.28.01400</v>
          </cell>
          <cell r="B2048" t="str">
            <v>Fornecimento e instalação de cabide de metal cromado, fixado com bucha e parafuso</v>
          </cell>
          <cell r="C2048" t="str">
            <v>UN</v>
          </cell>
          <cell r="D2048">
            <v>16.1614</v>
          </cell>
        </row>
        <row r="2049">
          <cell r="A2049" t="str">
            <v>001.28.01420</v>
          </cell>
          <cell r="B2049" t="str">
            <v>Fornecimento e instalação  de espelho para lavatorio com moldura simples e proteção de madeira na parte não espelhada dimensão 0.50 x 0.60 m</v>
          </cell>
          <cell r="C2049" t="str">
            <v>UN</v>
          </cell>
          <cell r="D2049">
            <v>37.372799999999998</v>
          </cell>
        </row>
        <row r="2050">
          <cell r="A2050" t="str">
            <v>001.28.01440</v>
          </cell>
          <cell r="B2050" t="str">
            <v>Fornecimento e instalação de espelho  para lavatório com moldura simples e proteção de madeira na parte não espelhada dim. 1.50 x 0.60 m</v>
          </cell>
          <cell r="C2050" t="str">
            <v>UN</v>
          </cell>
          <cell r="D2050">
            <v>50.115600000000001</v>
          </cell>
        </row>
        <row r="2051">
          <cell r="A2051" t="str">
            <v>001.28.01460</v>
          </cell>
          <cell r="B2051" t="str">
            <v>Fornecimento e instalação de chuveiro de pvc branco n. 1 da cipla ou similar</v>
          </cell>
          <cell r="C2051" t="str">
            <v>UN</v>
          </cell>
          <cell r="D2051">
            <v>7.3869999999999996</v>
          </cell>
        </row>
        <row r="2052">
          <cell r="A2052" t="str">
            <v>001.28.01480</v>
          </cell>
          <cell r="B2052" t="str">
            <v>Fornecimento e instalação de chuveiro de pvc cromado n. 2 da cipla ou similar</v>
          </cell>
          <cell r="C2052" t="str">
            <v>UN</v>
          </cell>
          <cell r="D2052">
            <v>15.077</v>
          </cell>
        </row>
        <row r="2053">
          <cell r="A2053" t="str">
            <v>001.28.01500</v>
          </cell>
          <cell r="B2053" t="str">
            <v>Fornecimento e instalação de chuveiro de luxo com articulacao cromada ref. 1994 deca ou similar 1/2 pol</v>
          </cell>
          <cell r="C2053" t="str">
            <v>UN</v>
          </cell>
          <cell r="D2053">
            <v>147.99430000000001</v>
          </cell>
        </row>
        <row r="2054">
          <cell r="A2054" t="str">
            <v>001.28.01520</v>
          </cell>
          <cell r="B2054" t="str">
            <v>Fornecimento e instalação de chuveiro simples com articulacao cromada ref. 1995 deca ou similar 1/2 pol</v>
          </cell>
          <cell r="C2054" t="str">
            <v>UN</v>
          </cell>
          <cell r="D2054">
            <v>108.9943</v>
          </cell>
        </row>
        <row r="2055">
          <cell r="A2055" t="str">
            <v>001.28.01540</v>
          </cell>
          <cell r="B2055" t="str">
            <v>Fornecimento e instalação de chuveiro eletrico para 2500 w / 220 v lorenzetti ou similar</v>
          </cell>
          <cell r="C2055" t="str">
            <v>UN</v>
          </cell>
          <cell r="D2055">
            <v>98.631799999999998</v>
          </cell>
        </row>
        <row r="2056">
          <cell r="A2056" t="str">
            <v>001.28.01560</v>
          </cell>
          <cell r="B2056" t="str">
            <v>Fornecimento e instalação sistema conjugado chuveiro lava olhos acionamento instantãneo ref. wl-1cl5 da mont lab ou similar</v>
          </cell>
          <cell r="C2056" t="str">
            <v>UN</v>
          </cell>
          <cell r="D2056">
            <v>1422.635</v>
          </cell>
        </row>
        <row r="2057">
          <cell r="A2057" t="str">
            <v>001.28.01580</v>
          </cell>
          <cell r="B2057" t="str">
            <v>Fornecimento e instalação de ducha de pvc cromado articulavel 1/2 pol cipla ou similar</v>
          </cell>
          <cell r="C2057" t="str">
            <v>UN</v>
          </cell>
          <cell r="D2057">
            <v>7.3869999999999996</v>
          </cell>
        </row>
        <row r="2058">
          <cell r="A2058" t="str">
            <v>001.28.01600</v>
          </cell>
          <cell r="B2058" t="str">
            <v>Fornecimento e instalação de ducha ss corona com 3 temperaturas</v>
          </cell>
          <cell r="C2058" t="str">
            <v>UN</v>
          </cell>
          <cell r="D2058">
            <v>27.681799999999999</v>
          </cell>
        </row>
        <row r="2059">
          <cell r="A2059" t="str">
            <v>001.28.01620</v>
          </cell>
          <cell r="B2059" t="str">
            <v>Fornecimento e instalação de tubo de descida para vávula de descarga de 1 1/2 pol de pvc rigido</v>
          </cell>
          <cell r="C2059" t="str">
            <v>UN</v>
          </cell>
          <cell r="D2059">
            <v>8.3670000000000009</v>
          </cell>
        </row>
        <row r="2060">
          <cell r="A2060" t="str">
            <v>001.28.01640</v>
          </cell>
          <cell r="B2060" t="str">
            <v>Fornecimento e instalação de ligação  para bacia sanitária em tubo em pvc rigido branco de 40mm</v>
          </cell>
          <cell r="C2060" t="str">
            <v>UN</v>
          </cell>
          <cell r="D2060">
            <v>7.2195</v>
          </cell>
        </row>
        <row r="2061">
          <cell r="A2061" t="str">
            <v>001.28.01660</v>
          </cell>
          <cell r="B2061" t="str">
            <v>Fornecimento e instalação de ligação para bacia sanitária tubo em pvc rigido cromado de 40mm</v>
          </cell>
          <cell r="C2061" t="str">
            <v>UN</v>
          </cell>
          <cell r="D2061">
            <v>11.269500000000001</v>
          </cell>
        </row>
        <row r="2062">
          <cell r="A2062" t="str">
            <v>001.28.01680</v>
          </cell>
          <cell r="B2062" t="str">
            <v>Fornecimento e instalação de ligação para bacia sanitária tubo em metal cromado de 40mm</v>
          </cell>
          <cell r="C2062" t="str">
            <v>UN</v>
          </cell>
          <cell r="D2062">
            <v>15.2195</v>
          </cell>
        </row>
        <row r="2063">
          <cell r="A2063" t="str">
            <v>001.28.01700</v>
          </cell>
          <cell r="B2063" t="str">
            <v>Fornecimento e instalação de ligação para bacia sanitária em bolsa de borracha</v>
          </cell>
          <cell r="C2063" t="str">
            <v>UN</v>
          </cell>
          <cell r="D2063">
            <v>2.9904999999999999</v>
          </cell>
        </row>
        <row r="2064">
          <cell r="A2064" t="str">
            <v>001.28.01720</v>
          </cell>
          <cell r="B2064" t="str">
            <v>Fornecimento e instalação de caixa de descarga externa inclusive tubo de descarga e acessórios</v>
          </cell>
          <cell r="C2064" t="str">
            <v>CJ</v>
          </cell>
          <cell r="D2064">
            <v>79.4739</v>
          </cell>
        </row>
        <row r="2065">
          <cell r="A2065" t="str">
            <v>001.28.01740</v>
          </cell>
          <cell r="B2065" t="str">
            <v>Fornecimento e instalação de caixa de descarga de emb. inclusive tubo de descarga e acessórios</v>
          </cell>
          <cell r="C2065" t="str">
            <v>CJ</v>
          </cell>
          <cell r="D2065">
            <v>79.4739</v>
          </cell>
        </row>
        <row r="2066">
          <cell r="A2066" t="str">
            <v>001.28.01760</v>
          </cell>
          <cell r="B2066" t="str">
            <v>Fornecimento e instalação de caixa de descarga para acoplar em bacia sanitária</v>
          </cell>
          <cell r="C2066" t="str">
            <v>UN</v>
          </cell>
          <cell r="D2066">
            <v>110.5909</v>
          </cell>
        </row>
        <row r="2067">
          <cell r="A2067" t="str">
            <v>001.28.01780</v>
          </cell>
          <cell r="B2067" t="str">
            <v>Fornecimento e instalação de engate no. 3 com terminais de 1/2 pol e mangueira flexíel branca, de 30 cm,</v>
          </cell>
          <cell r="C2067" t="str">
            <v>UN</v>
          </cell>
          <cell r="D2067">
            <v>3.9535</v>
          </cell>
        </row>
        <row r="2068">
          <cell r="A2068" t="str">
            <v>001.28.01800</v>
          </cell>
          <cell r="B2068" t="str">
            <v>Fornecimento e colocação de engate no. 5 com terminais cromados de 1/2 pol e mangueira flexível, de 40 cm,</v>
          </cell>
          <cell r="C2068" t="str">
            <v>UN</v>
          </cell>
          <cell r="D2068">
            <v>15.0435</v>
          </cell>
        </row>
        <row r="2069">
          <cell r="A2069" t="str">
            <v>001.28.01820</v>
          </cell>
          <cell r="B2069" t="str">
            <v>Fornecimento e instalação de ligação para saída de vaso sanitário pvc branco  diam.100 mm</v>
          </cell>
          <cell r="C2069" t="str">
            <v>UN</v>
          </cell>
          <cell r="D2069">
            <v>21.452200000000001</v>
          </cell>
        </row>
        <row r="2070">
          <cell r="A2070" t="str">
            <v>001.29</v>
          </cell>
          <cell r="B2070" t="str">
            <v>INSTALAÇÕES HIDRÁULICAS - CUBAS E TANQUE</v>
          </cell>
          <cell r="D2070">
            <v>6835.7408999999998</v>
          </cell>
        </row>
        <row r="2071">
          <cell r="A2071" t="str">
            <v>001.29.00020</v>
          </cell>
          <cell r="B2071" t="str">
            <v>Fornecimento e instalação de cuba de aço inox inclusive válvula americana n.1 - 46.5 x 31 x 15 cm</v>
          </cell>
          <cell r="C2071" t="str">
            <v>UN</v>
          </cell>
          <cell r="D2071">
            <v>102.02630000000001</v>
          </cell>
        </row>
        <row r="2072">
          <cell r="A2072" t="str">
            <v>001.29.00040</v>
          </cell>
          <cell r="B2072" t="str">
            <v>Fornecimento e instalação de cuba de aço inox inclusive válvula americana n.2 - 56.0 x 33.5 x 15 cm</v>
          </cell>
          <cell r="C2072" t="str">
            <v>UN</v>
          </cell>
          <cell r="D2072">
            <v>118.02630000000001</v>
          </cell>
        </row>
        <row r="2073">
          <cell r="A2073" t="str">
            <v>001.29.00060</v>
          </cell>
          <cell r="B2073" t="str">
            <v>Forneicmento e instalação de cuba de aço inox inclusive válvula americana - 40x40x20 cm</v>
          </cell>
          <cell r="C2073" t="str">
            <v>UN</v>
          </cell>
          <cell r="D2073">
            <v>45.988100000000003</v>
          </cell>
        </row>
        <row r="2074">
          <cell r="A2074" t="str">
            <v>001.29.00080</v>
          </cell>
          <cell r="B2074" t="str">
            <v>Fornecimento e instalação de cuba de aço inox inclusive válvula americana dupla 82 x 34 x 15 cm</v>
          </cell>
          <cell r="C2074" t="str">
            <v>UN</v>
          </cell>
          <cell r="D2074">
            <v>114.7409</v>
          </cell>
        </row>
        <row r="2075">
          <cell r="A2075" t="str">
            <v>001.29.00100</v>
          </cell>
          <cell r="B2075" t="str">
            <v>Fornecimento e instalação de banca ou tampo em aço inoxidável n.o de 1.20x0.60m com 1 cuba</v>
          </cell>
          <cell r="C2075" t="str">
            <v>UN</v>
          </cell>
          <cell r="D2075">
            <v>277.16820000000001</v>
          </cell>
        </row>
        <row r="2076">
          <cell r="A2076" t="str">
            <v>001.29.00120</v>
          </cell>
          <cell r="B2076" t="str">
            <v>Fornecimento e instalação de banca ou tampo em aço inoxidável n.2 de 1.50x0.60m com 1 cuba</v>
          </cell>
          <cell r="C2076" t="str">
            <v>UN</v>
          </cell>
          <cell r="D2076">
            <v>162.47819999999999</v>
          </cell>
        </row>
        <row r="2077">
          <cell r="A2077" t="str">
            <v>001.29.00140</v>
          </cell>
          <cell r="B2077" t="str">
            <v>Fornecimento e instalação de banca ou tampo em aço inoxidável n.2 de 1.80x0.60m com 1 cuba</v>
          </cell>
          <cell r="C2077" t="str">
            <v>UN</v>
          </cell>
          <cell r="D2077">
            <v>256.21820000000002</v>
          </cell>
        </row>
        <row r="2078">
          <cell r="A2078" t="str">
            <v>001.29.00160</v>
          </cell>
          <cell r="B2078" t="str">
            <v>Fornecimento e instalação de banca ou tampo em aço inoxidável n.2 de 2.00x0.60m com 1 cuba</v>
          </cell>
          <cell r="C2078" t="str">
            <v>UN</v>
          </cell>
          <cell r="D2078">
            <v>293.85820000000001</v>
          </cell>
        </row>
        <row r="2079">
          <cell r="A2079" t="str">
            <v>001.29.00180</v>
          </cell>
          <cell r="B2079" t="str">
            <v>Fornecimento e instalação de banca ou tampo em aço inoxidável n.334 de 2.00x0.60m com 2 cubas p/ ud</v>
          </cell>
          <cell r="C2079" t="str">
            <v>UN</v>
          </cell>
          <cell r="D2079">
            <v>355.21820000000002</v>
          </cell>
        </row>
        <row r="2080">
          <cell r="A2080" t="str">
            <v>001.29.00200</v>
          </cell>
          <cell r="B2080" t="str">
            <v>Fornecimento e instalação de banca ou tampo em aço inoxidável da eternox revestida d1800mb c/ 1 cuba no centro, de 1,80m</v>
          </cell>
          <cell r="C2080" t="str">
            <v>UN</v>
          </cell>
          <cell r="D2080">
            <v>276.8682</v>
          </cell>
        </row>
        <row r="2081">
          <cell r="A2081" t="str">
            <v>001.29.00220</v>
          </cell>
          <cell r="B2081" t="str">
            <v>Fornecimento e instalação de banca ou tampo em aço inoxidável da eternox revestida e1800mb c/ 1 cuba no centro, de 1,80m</v>
          </cell>
          <cell r="C2081" t="str">
            <v>UN</v>
          </cell>
          <cell r="D2081">
            <v>277.16820000000001</v>
          </cell>
        </row>
        <row r="2082">
          <cell r="A2082" t="str">
            <v>001.29.00240</v>
          </cell>
          <cell r="B2082" t="str">
            <v>Fornecimento e instalação de banca ou tampo em aço inoxidável da eternox revestida 2000mb 2c c/ 2 cubas no centro, de 2,00m</v>
          </cell>
          <cell r="C2082" t="str">
            <v>UN</v>
          </cell>
          <cell r="D2082">
            <v>331.21820000000002</v>
          </cell>
        </row>
        <row r="2083">
          <cell r="A2083" t="str">
            <v>001.29.00260</v>
          </cell>
          <cell r="B2083" t="str">
            <v>Fornecimento e instalação de banca ou tampo em aço inoxidável da eternox revestida d1600mb c/ 1 cuba no centro</v>
          </cell>
          <cell r="C2083" t="str">
            <v>UN</v>
          </cell>
          <cell r="D2083">
            <v>162.47819999999999</v>
          </cell>
        </row>
        <row r="2084">
          <cell r="A2084" t="str">
            <v>001.29.00280</v>
          </cell>
          <cell r="B2084" t="str">
            <v>Fornecimento e instalação de banca ou tampo em aço inoxidável da eternox revestida 1800mb 2c c/ 2 cubas no centro</v>
          </cell>
          <cell r="C2084" t="str">
            <v>UN</v>
          </cell>
          <cell r="D2084">
            <v>313.25819999999999</v>
          </cell>
        </row>
        <row r="2085">
          <cell r="A2085" t="str">
            <v>001.29.00300</v>
          </cell>
          <cell r="B2085" t="str">
            <v>Fornecimento e instalação de banca ou tampo em aço inoxidável da eternox revestida cuba dupla de 82x34x14cm</v>
          </cell>
          <cell r="C2085" t="str">
            <v>UN</v>
          </cell>
          <cell r="D2085">
            <v>106.1982</v>
          </cell>
        </row>
        <row r="2086">
          <cell r="A2086" t="str">
            <v>001.29.00320</v>
          </cell>
          <cell r="B2086" t="str">
            <v>Fornecimento e instalação de banca ou tampo em aço inoxidável da eternox revestido e1800mb com 2 cubas lado direito</v>
          </cell>
          <cell r="C2086" t="str">
            <v>UN</v>
          </cell>
          <cell r="D2086">
            <v>313.25819999999999</v>
          </cell>
        </row>
        <row r="2087">
          <cell r="A2087" t="str">
            <v>001.29.00340</v>
          </cell>
          <cell r="B2087" t="str">
            <v>Fornecimento e instalação de banca ou tampo em aço inoxidável da eternox revestido e1800mb com 2 cubas lado direito</v>
          </cell>
          <cell r="C2087" t="str">
            <v>UN</v>
          </cell>
          <cell r="D2087">
            <v>313.25819999999999</v>
          </cell>
        </row>
        <row r="2088">
          <cell r="A2088" t="str">
            <v>001.29.00360</v>
          </cell>
          <cell r="B2088" t="str">
            <v>Fornecimento e instalação de banca ou tampo em aço inoxidável da eternox revestida de 2.60 x 0.55 m c/ 1 cuba e valvula</v>
          </cell>
          <cell r="C2088" t="str">
            <v>UN</v>
          </cell>
          <cell r="D2088">
            <v>162.47819999999999</v>
          </cell>
        </row>
        <row r="2089">
          <cell r="A2089" t="str">
            <v>001.29.00380</v>
          </cell>
          <cell r="B2089" t="str">
            <v>Fornecimento e instalação de banca de granilite fundida na obra com espessura de 0.05 m</v>
          </cell>
          <cell r="C2089" t="str">
            <v>M2</v>
          </cell>
          <cell r="D2089">
            <v>79.511399999999995</v>
          </cell>
        </row>
        <row r="2090">
          <cell r="A2090" t="str">
            <v>001.29.00400</v>
          </cell>
          <cell r="B2090" t="str">
            <v>Fornecimento e instalação de bancada em ardósia polida 1.50 x 0.60 com 1 cuba inox 40.00x40.00x15.00</v>
          </cell>
          <cell r="C2090" t="str">
            <v>UN</v>
          </cell>
          <cell r="D2090">
            <v>178.5839</v>
          </cell>
        </row>
        <row r="2091">
          <cell r="A2091" t="str">
            <v>001.29.00420</v>
          </cell>
          <cell r="B2091" t="str">
            <v>Fornecimento e instalação de banca de mármore sintético c/ 01 cuba no centro , de 1.80m</v>
          </cell>
          <cell r="C2091" t="str">
            <v>UN</v>
          </cell>
          <cell r="D2091">
            <v>76.8416</v>
          </cell>
        </row>
        <row r="2092">
          <cell r="A2092" t="str">
            <v>001.29.00440</v>
          </cell>
          <cell r="B2092" t="str">
            <v>Forneicmento e instalação de banca de mármore sintético c/ 02 cubas no centro , de 1.80m</v>
          </cell>
          <cell r="C2092" t="str">
            <v>UN</v>
          </cell>
          <cell r="D2092">
            <v>76.8416</v>
          </cell>
        </row>
        <row r="2093">
          <cell r="A2093" t="str">
            <v>001.29.00460</v>
          </cell>
          <cell r="B2093" t="str">
            <v>Fornecimento e instalação de banca de mármore sintético com uma cuba - 120.00x54.00cm</v>
          </cell>
          <cell r="C2093" t="str">
            <v>UN</v>
          </cell>
          <cell r="D2093">
            <v>47.221600000000002</v>
          </cell>
        </row>
        <row r="2094">
          <cell r="A2094" t="str">
            <v>001.29.00480</v>
          </cell>
          <cell r="B2094" t="str">
            <v>Fornecimento e instalação de bancada em aço inox 316 1.90 x 0.80 formado por peças estampadas sem emendas visíveis, com 2 cubas em aço inox 316 estampado sem cantos vivos, nas dimensões (40x60x40)cm</v>
          </cell>
          <cell r="C2094" t="str">
            <v>UN</v>
          </cell>
          <cell r="D2094">
            <v>349.62389999999999</v>
          </cell>
        </row>
        <row r="2095">
          <cell r="A2095" t="str">
            <v>001.29.00500</v>
          </cell>
          <cell r="B2095" t="str">
            <v>Fornecimento e instalação de bancada em aço inox 316 2.20 x 0.80 formado por peças estampadas sem emendas visíveis, com 2 cubas em aço inox 316 estampado sem cantos vivos, nas dimensões (40x60x40)cm</v>
          </cell>
          <cell r="C2095" t="str">
            <v>UN</v>
          </cell>
          <cell r="D2095">
            <v>368.09390000000002</v>
          </cell>
        </row>
        <row r="2096">
          <cell r="A2096" t="str">
            <v>001.29.00520</v>
          </cell>
          <cell r="B2096" t="str">
            <v>Fornecimento e instalação de bancada seca em aço inox 316 1.80 x 0.80 formado por peças estampadas sem emendas visíveis</v>
          </cell>
          <cell r="C2096" t="str">
            <v>UN</v>
          </cell>
          <cell r="D2096">
            <v>313.23390000000001</v>
          </cell>
        </row>
        <row r="2097">
          <cell r="A2097" t="str">
            <v>001.29.00540</v>
          </cell>
          <cell r="B2097" t="str">
            <v>Fornecimento e instalação de cuba dupla com válvula, 82x34x14 cm</v>
          </cell>
          <cell r="C2097" t="str">
            <v>UN</v>
          </cell>
          <cell r="D2097">
            <v>112.8124</v>
          </cell>
        </row>
        <row r="2098">
          <cell r="A2098" t="str">
            <v>001.29.00560</v>
          </cell>
          <cell r="B2098" t="str">
            <v>Fornecimento e instalação de cuba simples de 400.00mmx340.00mmx140.00mm (p) , aco inox eternox</v>
          </cell>
          <cell r="C2098" t="str">
            <v>UN</v>
          </cell>
          <cell r="D2098">
            <v>92.621600000000001</v>
          </cell>
        </row>
        <row r="2099">
          <cell r="A2099" t="str">
            <v>001.29.00580</v>
          </cell>
          <cell r="B2099" t="str">
            <v>Fornecimento e instalação de cuba de aço inox, inclusive válvula americana nº 1 - 46.50 x 31.00 x 15.00 cm</v>
          </cell>
          <cell r="C2099" t="str">
            <v>UN</v>
          </cell>
          <cell r="D2099">
            <v>100.9881</v>
          </cell>
        </row>
        <row r="2100">
          <cell r="A2100" t="str">
            <v>001.29.00600</v>
          </cell>
          <cell r="B2100" t="str">
            <v>Fornecimento e instalação de cuba de aço inox, inclusive válvula americana nº 2 - 56.00 x 33.50 x 15.00 cm</v>
          </cell>
          <cell r="C2100" t="str">
            <v>UN</v>
          </cell>
          <cell r="D2100">
            <v>116.9881</v>
          </cell>
        </row>
        <row r="2101">
          <cell r="A2101" t="str">
            <v>001.29.00620</v>
          </cell>
          <cell r="B2101" t="str">
            <v>Fornecimento e instalação de cuba dupla 82.00 x 34.00 x 15.00 cm</v>
          </cell>
          <cell r="C2101" t="str">
            <v>UN</v>
          </cell>
          <cell r="D2101">
            <v>116.9881</v>
          </cell>
        </row>
        <row r="2102">
          <cell r="A2102" t="str">
            <v>001.29.00640</v>
          </cell>
          <cell r="B2102" t="str">
            <v>Fornecimento e instalação de tanque para lavar roupa pré-moldado de concreto modelo simples dim. 60 x 60 cm</v>
          </cell>
          <cell r="C2102" t="str">
            <v>UN</v>
          </cell>
          <cell r="D2102">
            <v>37.030299999999997</v>
          </cell>
        </row>
        <row r="2103">
          <cell r="A2103" t="str">
            <v>001.29.00660</v>
          </cell>
          <cell r="B2103" t="str">
            <v>Fornecimento e instalação de tanque para lavar roupa pre-moldado de concreto, 3 cubas, dim. 0,60x1,80m</v>
          </cell>
          <cell r="C2103" t="str">
            <v>UN</v>
          </cell>
          <cell r="D2103">
            <v>62.443199999999997</v>
          </cell>
        </row>
        <row r="2104">
          <cell r="A2104" t="str">
            <v>001.29.00680</v>
          </cell>
          <cell r="B2104" t="str">
            <v>Fornecimento e instalação de tanque para lavar roupa de louca branca tamanho médio com coluna</v>
          </cell>
          <cell r="C2104" t="str">
            <v>UN</v>
          </cell>
          <cell r="D2104">
            <v>186.5102</v>
          </cell>
        </row>
        <row r="2105">
          <cell r="A2105" t="str">
            <v>001.29.00700</v>
          </cell>
          <cell r="B2105" t="str">
            <v>Fornecimento e instalação de tanque para lavar roupa de louca branca tamanho médio sem coluna</v>
          </cell>
          <cell r="C2105" t="str">
            <v>UN</v>
          </cell>
          <cell r="D2105">
            <v>155.9102</v>
          </cell>
        </row>
        <row r="2106">
          <cell r="A2106" t="str">
            <v>001.29.00720</v>
          </cell>
          <cell r="B2106" t="str">
            <v>Fornecimento e instalação de tanque - celite - medio branco - c/ coluna r-002.05 c/ válvula</v>
          </cell>
          <cell r="C2106" t="str">
            <v>UN</v>
          </cell>
          <cell r="D2106">
            <v>157.33029999999999</v>
          </cell>
        </row>
        <row r="2107">
          <cell r="A2107" t="str">
            <v>001.29.00740</v>
          </cell>
          <cell r="B2107" t="str">
            <v>Fornecimento e instalação de tanque decoralite simples - tam-03 - c/ valvula</v>
          </cell>
          <cell r="C2107" t="str">
            <v>UN</v>
          </cell>
          <cell r="D2107">
            <v>188.3124</v>
          </cell>
        </row>
        <row r="2108">
          <cell r="A2108" t="str">
            <v>001.29.00760</v>
          </cell>
          <cell r="B2108" t="str">
            <v>Fornecimento e instalação de tanque de plástico - pequeno</v>
          </cell>
          <cell r="C2108" t="str">
            <v>UN</v>
          </cell>
          <cell r="D2108">
            <v>35.947800000000001</v>
          </cell>
        </row>
        <row r="2109">
          <cell r="A2109" t="str">
            <v>001.30</v>
          </cell>
          <cell r="B2109" t="str">
            <v>INSTALAÇÕES SANITÁRIAS - PRIMÁRIO E SECUNDÁRIO</v>
          </cell>
          <cell r="D2109">
            <v>35716.085599999999</v>
          </cell>
        </row>
        <row r="2110">
          <cell r="A2110" t="str">
            <v>001.30.00020</v>
          </cell>
          <cell r="B2110" t="str">
            <v>Fornecimento e instalação de tubo leve de pvc rígido branco c/ ponta e bolsa lisa em barra 6 m diâmetro 450 mm</v>
          </cell>
          <cell r="C2110" t="str">
            <v>ML</v>
          </cell>
          <cell r="D2110">
            <v>78.284999999999997</v>
          </cell>
        </row>
        <row r="2111">
          <cell r="A2111" t="str">
            <v>001.30.00040</v>
          </cell>
          <cell r="B2111" t="str">
            <v>Fornecimento e instalação de tubo leve de pvc rígido branco c/ ponta e bolsa lisa em barra 6 m diâmetro 400 mm</v>
          </cell>
          <cell r="C2111" t="str">
            <v>ML</v>
          </cell>
          <cell r="D2111">
            <v>79.056600000000003</v>
          </cell>
        </row>
        <row r="2112">
          <cell r="A2112" t="str">
            <v>001.30.00060</v>
          </cell>
          <cell r="B2112" t="str">
            <v>Fornecimento e instalação de tubo leve de pvc rígido branco c/ ponta e bolsa lisa em barra 6 m diâmetro 300 mm</v>
          </cell>
          <cell r="C2112" t="str">
            <v>ML</v>
          </cell>
          <cell r="D2112">
            <v>52.088000000000001</v>
          </cell>
        </row>
        <row r="2113">
          <cell r="A2113" t="str">
            <v>001.30.00080</v>
          </cell>
          <cell r="B2113" t="str">
            <v>Fornecimento e instalaçao de tubo leve de pvc rígido branco c/ ponta e bolsa lisa em barra 6 m diâmetro 250 mm</v>
          </cell>
          <cell r="C2113" t="str">
            <v>ML</v>
          </cell>
          <cell r="D2113">
            <v>31.425000000000001</v>
          </cell>
        </row>
        <row r="2114">
          <cell r="A2114" t="str">
            <v>001.30.00100</v>
          </cell>
          <cell r="B2114" t="str">
            <v>Fornecimento e instalação de tubo leve de pvc rígido branco c/ ponta e bolsa lisa em barra 6 m diâmetro 200 mm</v>
          </cell>
          <cell r="C2114" t="str">
            <v>ML</v>
          </cell>
          <cell r="D2114">
            <v>21.375499999999999</v>
          </cell>
        </row>
        <row r="2115">
          <cell r="A2115" t="str">
            <v>001.30.00120</v>
          </cell>
          <cell r="B2115" t="str">
            <v>Fornecimento e instalação de tubo leve de pvc rígido branco c/ ponta e bolsa lisa em barra 6 m diâmetro 150 mm</v>
          </cell>
          <cell r="C2115" t="str">
            <v>ML</v>
          </cell>
          <cell r="D2115">
            <v>20.812200000000001</v>
          </cell>
        </row>
        <row r="2116">
          <cell r="A2116" t="str">
            <v>001.30.00140</v>
          </cell>
          <cell r="B2116" t="str">
            <v>Fornecimento e instalação de tubo leve de pvc rígido branco c/ ponta e bolsa lisa em barra 6 m diâmetro 125 mm</v>
          </cell>
          <cell r="C2116" t="str">
            <v>ML</v>
          </cell>
          <cell r="D2116">
            <v>18.3781</v>
          </cell>
        </row>
        <row r="2117">
          <cell r="A2117" t="str">
            <v>001.30.00160</v>
          </cell>
          <cell r="B2117" t="str">
            <v>Fornecimento e instalação de tubo de pvc rígido cor branca com ponta e bolsa em barra de 6 m diâmetro 100 mm</v>
          </cell>
          <cell r="C2117" t="str">
            <v>ML</v>
          </cell>
          <cell r="D2117">
            <v>5.6124999999999998</v>
          </cell>
        </row>
        <row r="2118">
          <cell r="A2118" t="str">
            <v>001.30.00180</v>
          </cell>
          <cell r="B2118" t="str">
            <v>Fornecimento e instalação de tubo de pvc rígido cor branca com ponta e bolsa em barra de 6 m diâmetro 75 mm</v>
          </cell>
          <cell r="C2118" t="str">
            <v>ML</v>
          </cell>
          <cell r="D2118">
            <v>6.5316000000000001</v>
          </cell>
        </row>
        <row r="2119">
          <cell r="A2119" t="str">
            <v>001.30.00200</v>
          </cell>
          <cell r="B2119" t="str">
            <v>Fornecimento e instalação de tubo de pvc rígido cor branca com ponta e bolsa em barra de 6 m diâmetro 50 mm</v>
          </cell>
          <cell r="C2119" t="str">
            <v>ML</v>
          </cell>
          <cell r="D2119">
            <v>5.0678999999999998</v>
          </cell>
        </row>
        <row r="2120">
          <cell r="A2120" t="str">
            <v>001.30.00220</v>
          </cell>
          <cell r="B2120" t="str">
            <v>Fornecimento e instalação de tubo de pvc rígido cor branca com ponta e bolsa em barra de 6m diâmetro 40 mm</v>
          </cell>
          <cell r="C2120" t="str">
            <v>ML</v>
          </cell>
          <cell r="D2120">
            <v>3.0478999999999998</v>
          </cell>
        </row>
        <row r="2121">
          <cell r="A2121" t="str">
            <v>001.30.00240</v>
          </cell>
          <cell r="B2121" t="str">
            <v>Fornecimento e instalação de curva 90º de pvc rígido cor branca  diam.100 mm</v>
          </cell>
          <cell r="C2121" t="str">
            <v>UN</v>
          </cell>
          <cell r="D2121">
            <v>12.165100000000001</v>
          </cell>
        </row>
        <row r="2122">
          <cell r="A2122" t="str">
            <v>001.30.00260</v>
          </cell>
          <cell r="B2122" t="str">
            <v>Fornecimento e instalação de curva 90º de pvc rígido cor branca  diam. 75 mm</v>
          </cell>
          <cell r="C2122" t="str">
            <v>UN</v>
          </cell>
          <cell r="D2122">
            <v>18</v>
          </cell>
        </row>
        <row r="2123">
          <cell r="A2123" t="str">
            <v>001.30.00280</v>
          </cell>
          <cell r="B2123" t="str">
            <v>Fornecimento e instalação de curva 90º de pvc rígido cor branca   diam. 50 mm</v>
          </cell>
          <cell r="C2123" t="str">
            <v>UN</v>
          </cell>
          <cell r="D2123">
            <v>4.9749999999999996</v>
          </cell>
        </row>
        <row r="2124">
          <cell r="A2124" t="str">
            <v>001.30.00300</v>
          </cell>
          <cell r="B2124" t="str">
            <v>Fornecimento e instalação de curva 90º de pvc rígido cor branca   diam. 150 mm</v>
          </cell>
          <cell r="C2124" t="str">
            <v>UN</v>
          </cell>
          <cell r="D2124">
            <v>52.0501</v>
          </cell>
        </row>
        <row r="2125">
          <cell r="A2125" t="str">
            <v>001.30.00320</v>
          </cell>
          <cell r="B2125" t="str">
            <v>Fornecimento e instalação de curva 45º de pvc rígido cor branca   diam.100 mm</v>
          </cell>
          <cell r="C2125" t="str">
            <v>UN</v>
          </cell>
          <cell r="D2125">
            <v>14.555099999999999</v>
          </cell>
        </row>
        <row r="2126">
          <cell r="A2126" t="str">
            <v>001.30.00340</v>
          </cell>
          <cell r="B2126" t="str">
            <v>Fornecimento e instalação de curva 45º de pvc rígido cor branca   diam. 75 mm</v>
          </cell>
          <cell r="C2126" t="str">
            <v>UN</v>
          </cell>
          <cell r="D2126">
            <v>12.6</v>
          </cell>
        </row>
        <row r="2127">
          <cell r="A2127" t="str">
            <v>001.30.00360</v>
          </cell>
          <cell r="B2127" t="str">
            <v>Fornecimento e instalação de curva 45º de pvc rígido cor branca   diam. 50 mm</v>
          </cell>
          <cell r="C2127" t="str">
            <v>UN</v>
          </cell>
          <cell r="D2127">
            <v>6.1150000000000002</v>
          </cell>
        </row>
        <row r="2128">
          <cell r="A2128" t="str">
            <v>001.30.00380</v>
          </cell>
          <cell r="B2128" t="str">
            <v>Fornecimento e instalação de joelho 90º com anel de borracha, de pvc rígido cor branca   diam. 50 mm</v>
          </cell>
          <cell r="C2128" t="str">
            <v>UN</v>
          </cell>
          <cell r="D2128">
            <v>2.0049999999999999</v>
          </cell>
        </row>
        <row r="2129">
          <cell r="A2129" t="str">
            <v>001.30.00400</v>
          </cell>
          <cell r="B2129" t="str">
            <v>Fornecimento e instalação de cap de pvc rígido cor branca   diam.100 mm</v>
          </cell>
          <cell r="C2129" t="str">
            <v>UN</v>
          </cell>
          <cell r="D2129">
            <v>7.7575000000000003</v>
          </cell>
        </row>
        <row r="2130">
          <cell r="A2130" t="str">
            <v>001.30.00420</v>
          </cell>
          <cell r="B2130" t="str">
            <v>Fornecimento e instalação de cap de pvc rígido cor branca  diam. 75 mm</v>
          </cell>
          <cell r="C2130" t="str">
            <v>UN</v>
          </cell>
          <cell r="D2130">
            <v>5.9200999999999997</v>
          </cell>
        </row>
        <row r="2131">
          <cell r="A2131" t="str">
            <v>001.30.00440</v>
          </cell>
          <cell r="B2131" t="str">
            <v>Fornecimento e instalação de cap de pvc rígido cor branca   diam. 50 mm</v>
          </cell>
          <cell r="C2131" t="str">
            <v>UN</v>
          </cell>
          <cell r="D2131">
            <v>3.6425000000000001</v>
          </cell>
        </row>
        <row r="2132">
          <cell r="A2132" t="str">
            <v>001.30.00460</v>
          </cell>
          <cell r="B2132" t="str">
            <v>Fornecimento e instalação de joelho 45º de pvc rígido cor branca  diam.100 mm</v>
          </cell>
          <cell r="C2132" t="str">
            <v>UN</v>
          </cell>
          <cell r="D2132">
            <v>6.1451000000000002</v>
          </cell>
        </row>
        <row r="2133">
          <cell r="A2133" t="str">
            <v>001.30.00480</v>
          </cell>
          <cell r="B2133" t="str">
            <v>Fornecimento e instalação de joelho 45º de pvc rígido cor branca   diam. 75 mm</v>
          </cell>
          <cell r="C2133" t="str">
            <v>UN</v>
          </cell>
          <cell r="D2133">
            <v>2.95</v>
          </cell>
        </row>
        <row r="2134">
          <cell r="A2134" t="str">
            <v>001.30.00500</v>
          </cell>
          <cell r="B2134" t="str">
            <v>Fornecimento e instalação de joelho 45º de pvc rígido cor branca   diam. 50 mm</v>
          </cell>
          <cell r="C2134" t="str">
            <v>UN</v>
          </cell>
          <cell r="D2134">
            <v>2.4750000000000001</v>
          </cell>
        </row>
        <row r="2135">
          <cell r="A2135" t="str">
            <v>001.30.00520</v>
          </cell>
          <cell r="B2135" t="str">
            <v>Fornecimento e instalação de junção invertida de pvc rígido branca para estoto primário diam. 50x50mm</v>
          </cell>
          <cell r="C2135" t="str">
            <v>UN</v>
          </cell>
          <cell r="D2135">
            <v>7.8875999999999999</v>
          </cell>
        </row>
        <row r="2136">
          <cell r="A2136" t="str">
            <v>001.30.00540</v>
          </cell>
          <cell r="B2136" t="str">
            <v>Fornecimento e instalação de junção dupla invertida de pvc rígido branca para esgoto primário diam. 100 x 50 mm</v>
          </cell>
          <cell r="C2136" t="str">
            <v>UN</v>
          </cell>
          <cell r="D2136">
            <v>11.172599999999999</v>
          </cell>
        </row>
        <row r="2137">
          <cell r="A2137" t="str">
            <v>001.30.00560</v>
          </cell>
          <cell r="B2137" t="str">
            <v>Fornecimento e instalação de junção simples de pvc rígido branca  diam. 100x100 mm</v>
          </cell>
          <cell r="C2137" t="str">
            <v>UN</v>
          </cell>
          <cell r="D2137">
            <v>13.762600000000001</v>
          </cell>
        </row>
        <row r="2138">
          <cell r="A2138" t="str">
            <v>001.30.00580</v>
          </cell>
          <cell r="B2138" t="str">
            <v>Fornecimento e instalação de junção simples de pvc rígido branca  diam. 100x75 mm</v>
          </cell>
          <cell r="C2138" t="str">
            <v>UN</v>
          </cell>
          <cell r="D2138">
            <v>9.7026000000000003</v>
          </cell>
        </row>
        <row r="2139">
          <cell r="A2139" t="str">
            <v>001.30.00600</v>
          </cell>
          <cell r="B2139" t="str">
            <v>Fornecimento e instalação de junção simples de pvc rígido branca  diam. 100x50 mm</v>
          </cell>
          <cell r="C2139" t="str">
            <v>UN</v>
          </cell>
          <cell r="D2139">
            <v>11.172599999999999</v>
          </cell>
        </row>
        <row r="2140">
          <cell r="A2140" t="str">
            <v>001.30.00620</v>
          </cell>
          <cell r="B2140" t="str">
            <v>Fornecimento e instalação de junção simples de pvc rígido branca  diam. 75x75 mm</v>
          </cell>
          <cell r="C2140" t="str">
            <v>UN</v>
          </cell>
          <cell r="D2140">
            <v>8.1576000000000004</v>
          </cell>
        </row>
        <row r="2141">
          <cell r="A2141" t="str">
            <v>001.30.00640</v>
          </cell>
          <cell r="B2141" t="str">
            <v>Fornecimento e instalação de junção simples de pvc rígido branca  diam. 75x50 mm</v>
          </cell>
          <cell r="C2141" t="str">
            <v>UN</v>
          </cell>
          <cell r="D2141">
            <v>6.2375999999999996</v>
          </cell>
        </row>
        <row r="2142">
          <cell r="A2142" t="str">
            <v>001.30.00660</v>
          </cell>
          <cell r="B2142" t="str">
            <v>Fornecimento e instalação de junção simples de pvc rígido branca  diam. 50x50 mm</v>
          </cell>
          <cell r="C2142" t="str">
            <v>UN</v>
          </cell>
          <cell r="D2142">
            <v>5.7976000000000001</v>
          </cell>
        </row>
        <row r="2143">
          <cell r="A2143" t="str">
            <v>001.30.00680</v>
          </cell>
          <cell r="B2143" t="str">
            <v>Fornecimento e instalação de joelho 90º de pvc rígido branco  diam.75 mm</v>
          </cell>
          <cell r="C2143" t="str">
            <v>UN</v>
          </cell>
          <cell r="D2143">
            <v>5.33</v>
          </cell>
        </row>
        <row r="2144">
          <cell r="A2144" t="str">
            <v>001.30.00700</v>
          </cell>
          <cell r="B2144" t="str">
            <v>Fornecimento e instalação de joelho 90º de pvc rígido branco  diam.50 mm</v>
          </cell>
          <cell r="C2144" t="str">
            <v>UN</v>
          </cell>
          <cell r="D2144">
            <v>3.2549999999999999</v>
          </cell>
        </row>
        <row r="2145">
          <cell r="A2145" t="str">
            <v>001.30.00720</v>
          </cell>
          <cell r="B2145" t="str">
            <v>Fornecimento e instalação de joelho 90º de pvc rígido branco  diam.100 mm</v>
          </cell>
          <cell r="C2145" t="str">
            <v>UN</v>
          </cell>
          <cell r="D2145">
            <v>6.8750999999999998</v>
          </cell>
        </row>
        <row r="2146">
          <cell r="A2146" t="str">
            <v>001.30.00740</v>
          </cell>
          <cell r="B2146" t="str">
            <v>Fornecimento e instalação de joelho 90º curto com visita pvc branco para esgoto primário diam.100x75 mm</v>
          </cell>
          <cell r="C2146" t="str">
            <v>UN</v>
          </cell>
          <cell r="D2146">
            <v>9.0251000000000001</v>
          </cell>
        </row>
        <row r="2147">
          <cell r="A2147" t="str">
            <v>001.30.00760</v>
          </cell>
          <cell r="B2147" t="str">
            <v>Fornecimento e instalação de joelho 90º curto com visita pvc branco para esgoto primário diam.100x50 mm</v>
          </cell>
          <cell r="C2147" t="str">
            <v>UN</v>
          </cell>
          <cell r="D2147">
            <v>8.4750999999999994</v>
          </cell>
        </row>
        <row r="2148">
          <cell r="A2148" t="str">
            <v>001.30.00780</v>
          </cell>
          <cell r="B2148" t="str">
            <v>Fornecimento e instalação de joelho 90º curto com visita pvc branco para esgoto primário diam. 75x50 mm</v>
          </cell>
          <cell r="C2148" t="str">
            <v>UN</v>
          </cell>
          <cell r="D2148">
            <v>6</v>
          </cell>
        </row>
        <row r="2149">
          <cell r="A2149" t="str">
            <v>001.30.00800</v>
          </cell>
          <cell r="B2149" t="str">
            <v>Fornecimento e instalação de tee sanitário curto com visita pvc branco  diam.100x100 mm</v>
          </cell>
          <cell r="C2149" t="str">
            <v>UN</v>
          </cell>
          <cell r="D2149">
            <v>8.4626000000000001</v>
          </cell>
        </row>
        <row r="2150">
          <cell r="A2150" t="str">
            <v>001.30.00820</v>
          </cell>
          <cell r="B2150" t="str">
            <v>Fornecimento e instalação de tee sanitário curto com visita pvc branco  diam. 100x75 mm</v>
          </cell>
          <cell r="C2150" t="str">
            <v>UN</v>
          </cell>
          <cell r="D2150">
            <v>17.442599999999999</v>
          </cell>
        </row>
        <row r="2151">
          <cell r="A2151" t="str">
            <v>001.30.00840</v>
          </cell>
          <cell r="B2151" t="str">
            <v>Fornecimento e instalação de tee sanitário curto com visita pvc branco  diam. 100x50 mm</v>
          </cell>
          <cell r="C2151" t="str">
            <v>UN</v>
          </cell>
          <cell r="D2151">
            <v>8.1984999999999992</v>
          </cell>
        </row>
        <row r="2152">
          <cell r="A2152" t="str">
            <v>001.30.00860</v>
          </cell>
          <cell r="B2152" t="str">
            <v>Fornecimento e instalação de tee sanitário curto com visita pvc branco  diam. 75x75 mm</v>
          </cell>
          <cell r="C2152" t="str">
            <v>UN</v>
          </cell>
          <cell r="D2152">
            <v>6.9500999999999999</v>
          </cell>
        </row>
        <row r="2153">
          <cell r="A2153" t="str">
            <v>001.30.00880</v>
          </cell>
          <cell r="B2153" t="str">
            <v>Fornecimento e instalação de tee sanitário curto com visita pvc branco  diam. 75x50 mm</v>
          </cell>
          <cell r="C2153" t="str">
            <v>UN</v>
          </cell>
          <cell r="D2153">
            <v>6.4401000000000002</v>
          </cell>
        </row>
        <row r="2154">
          <cell r="A2154" t="str">
            <v>001.30.00900</v>
          </cell>
          <cell r="B2154" t="str">
            <v>Fornecimento e instalação de tee sanitário curto com visita pvc branco  diam. 50x50 mm</v>
          </cell>
          <cell r="C2154" t="str">
            <v>UN</v>
          </cell>
          <cell r="D2154">
            <v>4.3875999999999999</v>
          </cell>
        </row>
        <row r="2155">
          <cell r="A2155" t="str">
            <v>001.30.00920</v>
          </cell>
          <cell r="B2155" t="str">
            <v>Fornecimento e instalação de tee sanitário curto com visita pvc branco para esgoto primário diam.150mm</v>
          </cell>
          <cell r="C2155" t="str">
            <v>UN</v>
          </cell>
          <cell r="D2155">
            <v>39.6676</v>
          </cell>
        </row>
        <row r="2156">
          <cell r="A2156" t="str">
            <v>001.30.00940</v>
          </cell>
          <cell r="B2156" t="str">
            <v>Fornecimento e instalação de luva simpels pvc branco  diam.100 mm</v>
          </cell>
          <cell r="C2156" t="str">
            <v>UN</v>
          </cell>
          <cell r="D2156">
            <v>5.2150999999999996</v>
          </cell>
        </row>
        <row r="2157">
          <cell r="A2157" t="str">
            <v>001.30.00960</v>
          </cell>
          <cell r="B2157" t="str">
            <v>Fornecimento e instalação de luva simpels pvc branco  diam.75 mm</v>
          </cell>
          <cell r="C2157" t="str">
            <v>UN</v>
          </cell>
          <cell r="D2157">
            <v>3.51</v>
          </cell>
        </row>
        <row r="2158">
          <cell r="A2158" t="str">
            <v>001.30.00980</v>
          </cell>
          <cell r="B2158" t="str">
            <v>Fornecimento e instalação de luva simpels pvc branco  diam. 50 mm</v>
          </cell>
          <cell r="C2158" t="str">
            <v>UN</v>
          </cell>
          <cell r="D2158">
            <v>2.7050000000000001</v>
          </cell>
        </row>
        <row r="2159">
          <cell r="A2159" t="str">
            <v>001.30.01000</v>
          </cell>
          <cell r="B2159" t="str">
            <v>Fornecimento e instalação de luva simpels pvc branco  diam.150 mm</v>
          </cell>
          <cell r="C2159" t="str">
            <v>UN</v>
          </cell>
          <cell r="D2159">
            <v>23.420100000000001</v>
          </cell>
        </row>
        <row r="2160">
          <cell r="A2160" t="str">
            <v>001.30.01020</v>
          </cell>
          <cell r="B2160" t="str">
            <v>Fornecimento e instalação de luva dupla pvc branco  diam.100 mm</v>
          </cell>
          <cell r="C2160" t="str">
            <v>UN</v>
          </cell>
          <cell r="D2160">
            <v>3.7050999999999998</v>
          </cell>
        </row>
        <row r="2161">
          <cell r="A2161" t="str">
            <v>001.30.01040</v>
          </cell>
          <cell r="B2161" t="str">
            <v>Fornecimento e instalação de luva dupla pvc branco  diam.50 mm</v>
          </cell>
          <cell r="C2161" t="str">
            <v>UN</v>
          </cell>
          <cell r="D2161">
            <v>1.9650000000000001</v>
          </cell>
        </row>
        <row r="2162">
          <cell r="A2162" t="str">
            <v>001.30.01060</v>
          </cell>
          <cell r="B2162" t="str">
            <v>Fornecimento e instalação de luva dupla pvc branco  diam.75 mm</v>
          </cell>
          <cell r="C2162" t="str">
            <v>UN</v>
          </cell>
          <cell r="D2162">
            <v>3.03</v>
          </cell>
        </row>
        <row r="2163">
          <cell r="A2163" t="str">
            <v>001.30.01080</v>
          </cell>
          <cell r="B2163" t="str">
            <v>Fornecimento e instalação de luva dupla pvc branco  diam.150 mm</v>
          </cell>
          <cell r="C2163" t="str">
            <v>UN</v>
          </cell>
          <cell r="D2163">
            <v>2.2501000000000002</v>
          </cell>
        </row>
        <row r="2164">
          <cell r="A2164" t="str">
            <v>001.30.01100</v>
          </cell>
          <cell r="B2164" t="str">
            <v>Fornecimento e instalação de luva de correr pvc branco  diam.100 mm</v>
          </cell>
          <cell r="C2164" t="str">
            <v>UN</v>
          </cell>
          <cell r="D2164">
            <v>1.8751</v>
          </cell>
        </row>
        <row r="2165">
          <cell r="A2165" t="str">
            <v>001.30.01120</v>
          </cell>
          <cell r="B2165" t="str">
            <v>Fornecimento e instalação de luva de correr pvc branco  diam. 75 mm</v>
          </cell>
          <cell r="C2165" t="str">
            <v>UN</v>
          </cell>
          <cell r="D2165">
            <v>6.45</v>
          </cell>
        </row>
        <row r="2166">
          <cell r="A2166" t="str">
            <v>001.30.01140</v>
          </cell>
          <cell r="B2166" t="str">
            <v>Fornecimento e instalação de luva de correr pvc branco  diam. 50 mm</v>
          </cell>
          <cell r="C2166" t="str">
            <v>UN</v>
          </cell>
          <cell r="D2166">
            <v>5.0750000000000002</v>
          </cell>
        </row>
        <row r="2167">
          <cell r="A2167" t="str">
            <v>001.30.01160</v>
          </cell>
          <cell r="B2167" t="str">
            <v>Fornecimento e instalação de plug pvc diam. 100 mm</v>
          </cell>
          <cell r="C2167" t="str">
            <v>UN</v>
          </cell>
          <cell r="D2167">
            <v>3.1875</v>
          </cell>
        </row>
        <row r="2168">
          <cell r="A2168" t="str">
            <v>001.30.01180</v>
          </cell>
          <cell r="B2168" t="str">
            <v>Fornecimento e instalação de plug de pvc diam.75 mm</v>
          </cell>
          <cell r="C2168" t="str">
            <v>UN</v>
          </cell>
          <cell r="D2168">
            <v>2.4601000000000002</v>
          </cell>
        </row>
        <row r="2169">
          <cell r="A2169" t="str">
            <v>001.30.01200</v>
          </cell>
          <cell r="B2169" t="str">
            <v>Fornecimento e instalação de plug de pvc branco diam. 50 mm</v>
          </cell>
          <cell r="C2169" t="str">
            <v>UN</v>
          </cell>
          <cell r="D2169">
            <v>1.5325</v>
          </cell>
        </row>
        <row r="2170">
          <cell r="A2170" t="str">
            <v>001.30.01220</v>
          </cell>
          <cell r="B2170" t="str">
            <v>Fornecimento e instalação de redução excêntrica pvc branco  diam.100x75 mm</v>
          </cell>
          <cell r="C2170" t="str">
            <v>UN</v>
          </cell>
          <cell r="D2170">
            <v>6.2701000000000002</v>
          </cell>
        </row>
        <row r="2171">
          <cell r="A2171" t="str">
            <v>001.30.01240</v>
          </cell>
          <cell r="B2171" t="str">
            <v>Fornecimento e instalação de redução excêntrica pvc branco  diam.100x50 mm</v>
          </cell>
          <cell r="C2171" t="str">
            <v>UN</v>
          </cell>
          <cell r="D2171">
            <v>5.7100999999999997</v>
          </cell>
        </row>
        <row r="2172">
          <cell r="A2172" t="str">
            <v>001.30.01260</v>
          </cell>
          <cell r="B2172" t="str">
            <v>Fornecimento e instalação de redução excêntrica pvc branco  diam.75x50 mm</v>
          </cell>
          <cell r="C2172" t="str">
            <v>UN</v>
          </cell>
          <cell r="D2172">
            <v>3.5649999999999999</v>
          </cell>
        </row>
        <row r="2173">
          <cell r="A2173" t="str">
            <v>001.30.01280</v>
          </cell>
          <cell r="B2173" t="str">
            <v>Fornecimento e instalação de vedação de saída de vaso sanitário pvc branco  diam.100 mm</v>
          </cell>
          <cell r="C2173" t="str">
            <v>UN</v>
          </cell>
          <cell r="D2173">
            <v>4.7750000000000004</v>
          </cell>
        </row>
        <row r="2174">
          <cell r="A2174" t="str">
            <v>001.30.01300</v>
          </cell>
          <cell r="B2174" t="str">
            <v>Fornecimento e instalação de terminal de ventilação pvc branco  diam.50 mm</v>
          </cell>
          <cell r="C2174" t="str">
            <v>UN</v>
          </cell>
          <cell r="D2174">
            <v>5.4649999999999999</v>
          </cell>
        </row>
        <row r="2175">
          <cell r="A2175" t="str">
            <v>001.30.01320</v>
          </cell>
          <cell r="B2175" t="str">
            <v>Fornecimento e instalação de curva 90º de pvc rígido cor branca diam.40 mm</v>
          </cell>
          <cell r="C2175" t="str">
            <v>UN</v>
          </cell>
          <cell r="D2175">
            <v>2.7749999999999999</v>
          </cell>
        </row>
        <row r="2176">
          <cell r="A2176" t="str">
            <v>001.30.01340</v>
          </cell>
          <cell r="B2176" t="str">
            <v>Fornecimento e instalação de curva 45º de pvc rígido cor branca  diam.40 mm</v>
          </cell>
          <cell r="C2176" t="str">
            <v>UN</v>
          </cell>
          <cell r="D2176">
            <v>2.7749999999999999</v>
          </cell>
        </row>
        <row r="2177">
          <cell r="A2177" t="str">
            <v>001.30.01360</v>
          </cell>
          <cell r="B2177" t="str">
            <v>Fornecimento e instalação de joelho 90º pvc rígido cor branca  diam.40 mm</v>
          </cell>
          <cell r="C2177" t="str">
            <v>UN</v>
          </cell>
          <cell r="D2177">
            <v>2.2450000000000001</v>
          </cell>
        </row>
        <row r="2178">
          <cell r="A2178" t="str">
            <v>001.30.01380</v>
          </cell>
          <cell r="B2178" t="str">
            <v>Fornecimento e instalação de joelho 45º pvc rígido cor branca  diam.40 mm</v>
          </cell>
          <cell r="C2178" t="str">
            <v>UN</v>
          </cell>
          <cell r="D2178">
            <v>2.4649999999999999</v>
          </cell>
        </row>
        <row r="2179">
          <cell r="A2179" t="str">
            <v>001.30.01400</v>
          </cell>
          <cell r="B2179" t="str">
            <v>Fornecimento e instalação de tee 90º pvc rígido cor branca diam.40 mm</v>
          </cell>
          <cell r="C2179" t="str">
            <v>UN</v>
          </cell>
          <cell r="D2179">
            <v>2.8875999999999999</v>
          </cell>
        </row>
        <row r="2180">
          <cell r="A2180" t="str">
            <v>001.30.01420</v>
          </cell>
          <cell r="B2180" t="str">
            <v>Fornecimento e instalação de junção 45º pvc rígido cor branca  diam.40 mm</v>
          </cell>
          <cell r="C2180" t="str">
            <v>UN</v>
          </cell>
          <cell r="D2180">
            <v>3.7475999999999998</v>
          </cell>
        </row>
        <row r="2181">
          <cell r="A2181" t="str">
            <v>001.30.01440</v>
          </cell>
          <cell r="B2181" t="str">
            <v>Fornecimento e instalação de bucha de redução pvc rígido cor branca para esgoto secundário diam.50 mm x 40 mm</v>
          </cell>
          <cell r="C2181" t="str">
            <v>UN</v>
          </cell>
          <cell r="D2181">
            <v>2.0550000000000002</v>
          </cell>
        </row>
        <row r="2182">
          <cell r="A2182" t="str">
            <v>001.30.01460</v>
          </cell>
          <cell r="B2182" t="str">
            <v>Fornecimento e instalação de joelho 90º soldável e com rosca cor branca para esgoto secundário diam.40 mm x 1.1/4 pol</v>
          </cell>
          <cell r="C2182" t="str">
            <v>UN</v>
          </cell>
          <cell r="D2182">
            <v>2.1549999999999998</v>
          </cell>
        </row>
        <row r="2183">
          <cell r="A2183" t="str">
            <v>001.30.01480</v>
          </cell>
          <cell r="B2183" t="str">
            <v>Fornecimento e instalação de joelho 90º soldável e com rosca cor branca para esgoto sedundário diam.40 mm x 1 pol</v>
          </cell>
          <cell r="C2183" t="str">
            <v>UN</v>
          </cell>
          <cell r="D2183">
            <v>2.5049999999999999</v>
          </cell>
        </row>
        <row r="2184">
          <cell r="A2184" t="str">
            <v>001.30.01500</v>
          </cell>
          <cell r="B2184" t="str">
            <v>Fornecimento e instalação de adaptador para sifão soldável pvc rígido cor branca para esgoto secundário diam.1.1/4 x 40 mm</v>
          </cell>
          <cell r="C2184" t="str">
            <v>UN</v>
          </cell>
          <cell r="D2184">
            <v>1.635</v>
          </cell>
        </row>
        <row r="2185">
          <cell r="A2185" t="str">
            <v>001.30.01520</v>
          </cell>
          <cell r="B2185" t="str">
            <v>Fornecimento e instalação de adaptador para junta elástica para sifão metálico pvc rígido cor branca para esgoto secundário diam.1 1/2 x 40 mm</v>
          </cell>
          <cell r="C2185" t="str">
            <v>UN</v>
          </cell>
          <cell r="D2185">
            <v>1.835</v>
          </cell>
        </row>
        <row r="2186">
          <cell r="A2186" t="str">
            <v>001.30.01540</v>
          </cell>
          <cell r="B2186" t="str">
            <v>Fornecimento e instalação de luva pvc rígido cor branca para estogo secundário diam.40 mm</v>
          </cell>
          <cell r="C2186" t="str">
            <v>UN</v>
          </cell>
          <cell r="D2186">
            <v>1.625</v>
          </cell>
        </row>
        <row r="2187">
          <cell r="A2187" t="str">
            <v>001.30.01560</v>
          </cell>
          <cell r="B2187" t="str">
            <v>Fornecimento e instalação de caixa sifonada de de pvc rígido branco para esgoto secundário  com saída de 50 mm e grelha quadrada simples n.101 150x150x50 mm</v>
          </cell>
          <cell r="C2187" t="str">
            <v>UN</v>
          </cell>
          <cell r="D2187">
            <v>40.3339</v>
          </cell>
        </row>
        <row r="2188">
          <cell r="A2188" t="str">
            <v>001.30.01580</v>
          </cell>
          <cell r="B2188" t="str">
            <v>Fornecimento e instalação de caixa sifonada de de pvc rígido branco para esgoto secundário  com grelha quadrada e porta grelha cromados n.103 150x150x50 mm</v>
          </cell>
          <cell r="C2188" t="str">
            <v>UN</v>
          </cell>
          <cell r="D2188">
            <v>19.783899999999999</v>
          </cell>
        </row>
        <row r="2189">
          <cell r="A2189" t="str">
            <v>001.30.01600</v>
          </cell>
          <cell r="B2189" t="str">
            <v>Fornecimento e instalação de caixa sifonada de de pvc rígido branco para esgoto secundário  com grelha quadrada cromada e porta grelha cinza n.105 150x150x50 mm</v>
          </cell>
          <cell r="C2189" t="str">
            <v>UN</v>
          </cell>
          <cell r="D2189">
            <v>19.783899999999999</v>
          </cell>
        </row>
        <row r="2190">
          <cell r="A2190" t="str">
            <v>001.30.01620</v>
          </cell>
          <cell r="B2190" t="str">
            <v>Fornecimento e instalação de caixa sifonada de de pvc rígido branco para esgoto secundário  com grelha redonda simples n.102 150x150x50 mm</v>
          </cell>
          <cell r="C2190" t="str">
            <v>UN</v>
          </cell>
          <cell r="D2190">
            <v>18.793900000000001</v>
          </cell>
        </row>
        <row r="2191">
          <cell r="A2191" t="str">
            <v>001.30.01640</v>
          </cell>
          <cell r="B2191" t="str">
            <v>Fornecimento e instalação de caixa sifonada de de pvc rígido branco para esgoto secundário  com grelha redonda cromada e porta grelha cromados n.104 150x150x50 mm</v>
          </cell>
          <cell r="C2191" t="str">
            <v>UN</v>
          </cell>
          <cell r="D2191">
            <v>18.793900000000001</v>
          </cell>
        </row>
        <row r="2192">
          <cell r="A2192" t="str">
            <v>001.30.01660</v>
          </cell>
          <cell r="B2192" t="str">
            <v>Fornecimento e instalação de caixa sifonada de de pvc rígido branco para esgoto secundário  com grelha redonda cromada e porta grelha cromados n.106 150x150x50 mm</v>
          </cell>
          <cell r="C2192" t="str">
            <v>UN</v>
          </cell>
          <cell r="D2192">
            <v>18.793900000000001</v>
          </cell>
        </row>
        <row r="2193">
          <cell r="A2193" t="str">
            <v>001.30.01680</v>
          </cell>
          <cell r="B2193" t="str">
            <v>Fornecimento e instalações de caixa sifonada de de pvc rígido branco para esgoto secundário  com grelha redonda cromada e porta grelha cromados n.104 150x185x75 mm</v>
          </cell>
          <cell r="C2193" t="str">
            <v>UN</v>
          </cell>
          <cell r="D2193">
            <v>19.713899999999999</v>
          </cell>
        </row>
        <row r="2194">
          <cell r="A2194" t="str">
            <v>001.30.01700</v>
          </cell>
          <cell r="B2194" t="str">
            <v>Fornecimento e instalação de caixa sifonada de de pvc rígido branco para esgoto secundário  com saída de 40 mm e uma só entrada com grelha redonda simples n.31 100x100x40 mm</v>
          </cell>
          <cell r="C2194" t="str">
            <v>UN</v>
          </cell>
          <cell r="D2194">
            <v>14.2439</v>
          </cell>
        </row>
        <row r="2195">
          <cell r="A2195" t="str">
            <v>001.30.01720</v>
          </cell>
          <cell r="B2195" t="str">
            <v>Fornecimento e instalação de caixa sifonada de de pvc rígido branco para esgoto secundário  com grelha redonda e porta grelha cromados n.34 100x100x40 mm</v>
          </cell>
          <cell r="C2195" t="str">
            <v>UN</v>
          </cell>
          <cell r="D2195">
            <v>14.2439</v>
          </cell>
        </row>
        <row r="2196">
          <cell r="A2196" t="str">
            <v>001.30.01740</v>
          </cell>
          <cell r="B2196" t="str">
            <v>Fornecimento e instalação de caixa sifonada de de pvc rígido branco para esgoto secundário  com grelha redonda e porta grelha cromados n.64 100x100x40 mm</v>
          </cell>
          <cell r="C2196" t="str">
            <v>UN</v>
          </cell>
          <cell r="D2196">
            <v>16.1739</v>
          </cell>
        </row>
        <row r="2197">
          <cell r="A2197" t="str">
            <v>001.30.01760</v>
          </cell>
          <cell r="B2197" t="str">
            <v>Fornecimento e instalação de caixa  seca de pvc rígido branco e cinza p/ esgoto secundário de altura regulável para cozinha, box, terraço redonda c/grelha simples n 142 100x100x40 mm</v>
          </cell>
          <cell r="C2197" t="str">
            <v>UN</v>
          </cell>
          <cell r="D2197">
            <v>20.093900000000001</v>
          </cell>
        </row>
        <row r="2198">
          <cell r="A2198" t="str">
            <v>001.30.01780</v>
          </cell>
          <cell r="B2198" t="str">
            <v>Fornecimento e instalação de caixa seca de pvc rígido branco e cinza p/ esgoto secundário de altura regulável para cozinha, box, terraço redonda c/grelha e porta grelha cromados n 144 100x100x40 mm</v>
          </cell>
          <cell r="C2198" t="str">
            <v>UN</v>
          </cell>
          <cell r="D2198">
            <v>16.1739</v>
          </cell>
        </row>
        <row r="2199">
          <cell r="A2199" t="str">
            <v>001.30.01800</v>
          </cell>
          <cell r="B2199" t="str">
            <v>Fornecimento e instalação de caixa seca de pvc rígido branco e cinza p/ esgoto secundário de altura regulável para cozinha, box, terraço redonda c/grelha cromada e porta grelha cinza n.146 100x100x40 mm</v>
          </cell>
          <cell r="C2199" t="str">
            <v>UN</v>
          </cell>
          <cell r="D2199">
            <v>16.1739</v>
          </cell>
        </row>
        <row r="2200">
          <cell r="A2200" t="str">
            <v>001.30.01820</v>
          </cell>
          <cell r="B2200" t="str">
            <v>Fornecimento e instalação de ralo seco pvc branco e cinza rígido p/ esgoto secundário,para terraço, quadrado c/grelha simples n 211 100x53x40 mm</v>
          </cell>
          <cell r="C2200" t="str">
            <v>UN</v>
          </cell>
          <cell r="D2200">
            <v>12.453900000000001</v>
          </cell>
        </row>
        <row r="2201">
          <cell r="A2201" t="str">
            <v>001.30.01840</v>
          </cell>
          <cell r="B2201" t="str">
            <v>Fornecimento e instalação de ralo seco pvc branco e cinza rígido p/ esgoto secundário,para terraço, quadrado c/grelha cromada n 215 100x53x40 mm</v>
          </cell>
          <cell r="C2201" t="str">
            <v>UN</v>
          </cell>
          <cell r="D2201">
            <v>12.453900000000001</v>
          </cell>
        </row>
        <row r="2202">
          <cell r="A2202" t="str">
            <v>001.30.01860</v>
          </cell>
          <cell r="B2202" t="str">
            <v>Fornecimento e instalação de ralo seco pvc branco e cinza rígido p/ esgoto secundário, c/ saída soldável, c/ grelha simples n.5 100x40 mm</v>
          </cell>
          <cell r="C2202" t="str">
            <v>UN</v>
          </cell>
          <cell r="D2202">
            <v>11.2239</v>
          </cell>
        </row>
        <row r="2203">
          <cell r="A2203" t="str">
            <v>001.30.01880</v>
          </cell>
          <cell r="B2203" t="str">
            <v>Fornecimento e instalação de ralo seco pvc branco e cinza rígido p/ esgoto secundário,c/ saída soldável  c/ grelha cromada n.6 100x40 mm</v>
          </cell>
          <cell r="C2203" t="str">
            <v>UN</v>
          </cell>
          <cell r="D2203">
            <v>12.4839</v>
          </cell>
        </row>
        <row r="2204">
          <cell r="A2204" t="str">
            <v>001.30.01900</v>
          </cell>
          <cell r="B2204" t="str">
            <v>Fornecimento e instalação de ralo sifonado cônico pvc branco e cinza rígido p/ esgoto secundário, de altura regulável c/grelha simples n 212 100x40 mm</v>
          </cell>
          <cell r="C2204" t="str">
            <v>UN</v>
          </cell>
          <cell r="D2204">
            <v>16.823899999999998</v>
          </cell>
        </row>
        <row r="2205">
          <cell r="A2205" t="str">
            <v>001.30.01920</v>
          </cell>
          <cell r="B2205" t="str">
            <v>Fornecimento e instalação de ralo sifonado cônico pvc branco e cinza rígido p/ esgoto secundário, de altura regulável c/grelha cromada n 216 100x40 mm</v>
          </cell>
          <cell r="C2205" t="str">
            <v>UN</v>
          </cell>
          <cell r="D2205">
            <v>12.4839</v>
          </cell>
        </row>
        <row r="2206">
          <cell r="A2206" t="str">
            <v>001.30.01940</v>
          </cell>
          <cell r="B2206" t="str">
            <v>Fornecimento e instalaçao de ralo sifonado pvc branco e cinza rígido p/ esgoto secundário, para terraço, quadrado com grelha simples n. 201 100 x 53 x 40 mm</v>
          </cell>
          <cell r="C2206" t="str">
            <v>UN</v>
          </cell>
          <cell r="D2206">
            <v>11.603899999999999</v>
          </cell>
        </row>
        <row r="2207">
          <cell r="A2207" t="str">
            <v>001.30.01960</v>
          </cell>
          <cell r="B2207" t="str">
            <v>Fornecimento e instalação de ralo sifonado pvc branco e cinza rígido p/ esgoto secundário, para terraço, quadrado com grelha cromada n. 205 100 x 53 x 40 mm</v>
          </cell>
          <cell r="C2207" t="str">
            <v>UN</v>
          </cell>
          <cell r="D2207">
            <v>12.4839</v>
          </cell>
        </row>
        <row r="2208">
          <cell r="A2208" t="str">
            <v>001.30.01980</v>
          </cell>
          <cell r="B2208" t="str">
            <v>Execução de caixa de inspeção em alvenaria de tijolos maciço de 1/2 vez revestida com argamassa de cimento e areia 1:3 com impermeabilizante e tampa de concreto armado (e=0.07 m) conf. det. n. 15 dop 20 x 20 x 20 cm</v>
          </cell>
          <cell r="C2208" t="str">
            <v>UN</v>
          </cell>
          <cell r="D2208">
            <v>23.147200000000002</v>
          </cell>
        </row>
        <row r="2209">
          <cell r="A2209" t="str">
            <v>001.30.02000</v>
          </cell>
          <cell r="B2209" t="str">
            <v>Execução de caixa de inspeção em alvenaria de tijolos maciço de 1/2 vez revestida com argamassa de cimento e areia 1:3 com impermeabilizante e tampa de concreto armado (e=0.07 m) conf. det. n. 15 dop 30 x 30 x 20 cm</v>
          </cell>
          <cell r="C2209" t="str">
            <v>UN</v>
          </cell>
          <cell r="D2209">
            <v>39.912100000000002</v>
          </cell>
        </row>
        <row r="2210">
          <cell r="A2210" t="str">
            <v>001.30.02020</v>
          </cell>
          <cell r="B2210" t="str">
            <v>Execução de caixa de inspeção em alvenaria de tijolos maciço de 1/2 vez revestida com argamassa de cimento e areia 1:3 com impermeabilizante e tampa de concreto armado (e=0.07 m) conf. det. n. 15 dop 40 x 40 x 30 cm</v>
          </cell>
          <cell r="C2210" t="str">
            <v>UN</v>
          </cell>
          <cell r="D2210">
            <v>54.694499999999998</v>
          </cell>
        </row>
        <row r="2211">
          <cell r="A2211" t="str">
            <v>001.30.02040</v>
          </cell>
          <cell r="B2211" t="str">
            <v>Execução de caixa de inspeção em alvenaria de tijolos maciço de 1/2 vez revestida com argamassa de cimento e areia 1:3 com impermeabilizante e tampa de concreto armado (e=0.07 m) conf. det. n. 15 dop 50 x 50 x 30 cm</v>
          </cell>
          <cell r="C2211" t="str">
            <v>UN</v>
          </cell>
          <cell r="D2211">
            <v>66.542299999999997</v>
          </cell>
        </row>
        <row r="2212">
          <cell r="A2212" t="str">
            <v>001.30.02060</v>
          </cell>
          <cell r="B2212" t="str">
            <v>Execução de caixa de inspeção em alvenaria de tijolos maciço de 1/2 vez revestida com argamassa de cimento e areia 1:3 com impermeabilizante e tampa de concreto armado (e=0.07 m) conf. det. n. 15 dop 50 x 50 x 40 cm</v>
          </cell>
          <cell r="C2212" t="str">
            <v>UN</v>
          </cell>
          <cell r="D2212">
            <v>71.517099999999999</v>
          </cell>
        </row>
        <row r="2213">
          <cell r="A2213" t="str">
            <v>001.30.02080</v>
          </cell>
          <cell r="B2213" t="str">
            <v>Execução de caixa de inspeção em alvenaria de tijolos maciço de 1/2 vez revestida com argamassa de cimento e areia 1:3 com impermeabilizante e tampa de concreto armado (e=0.07 m) conf. det. n. 15 dop 60 x 60 x 50 cm</v>
          </cell>
          <cell r="C2213" t="str">
            <v>UN</v>
          </cell>
          <cell r="D2213">
            <v>97.740899999999996</v>
          </cell>
        </row>
        <row r="2214">
          <cell r="A2214" t="str">
            <v>001.30.02100</v>
          </cell>
          <cell r="B2214" t="str">
            <v>Execução de caixa de inspeção em alvenaria de tijolos maciço de 1/2 vez revestida com argamassa de cimento e areia 1:3 com impermeabilizante e tampa de concreto armado (e=0.07 m) conf. det. n. 15 dop 70 x 70 x 50 cm</v>
          </cell>
          <cell r="C2214" t="str">
            <v>UN</v>
          </cell>
          <cell r="D2214">
            <v>113.5551</v>
          </cell>
        </row>
        <row r="2215">
          <cell r="A2215" t="str">
            <v>001.30.02120</v>
          </cell>
          <cell r="B2215" t="str">
            <v>Execução de caixa de inspeção em alvenaria de tijolos maciço de 1/2 vez revestida com argamassa de cimento e areia 1:3 com impermeabilizante e tampa de concreto armado (e=0.07 m) conf. det. n. 15 dop 80 x 80 x 60 cm</v>
          </cell>
          <cell r="C2215" t="str">
            <v>UN</v>
          </cell>
          <cell r="D2215">
            <v>144.86179999999999</v>
          </cell>
        </row>
        <row r="2216">
          <cell r="A2216" t="str">
            <v>001.30.02140</v>
          </cell>
          <cell r="B2216" t="str">
            <v>Execução de caixa de inspeção em alvenaria de tijolos maciço de 1/2 vez revestida com argamassa de cimento e areia 1:3 com impermeabilizante e tampa de concreto armado (e=0.07 m) conf. det. n. 15 dop 100 x 100 x 100 cm</v>
          </cell>
          <cell r="C2216" t="str">
            <v>UN</v>
          </cell>
          <cell r="D2216">
            <v>241.42449999999999</v>
          </cell>
        </row>
        <row r="2217">
          <cell r="A2217" t="str">
            <v>001.30.02160</v>
          </cell>
          <cell r="B2217" t="str">
            <v>Execução de caixa de gordura de pvc (cx43)c/tampa de pvc 250x230x75mm</v>
          </cell>
          <cell r="C2217" t="str">
            <v>UN</v>
          </cell>
          <cell r="D2217">
            <v>21.7239</v>
          </cell>
        </row>
        <row r="2218">
          <cell r="A2218" t="str">
            <v>001.30.02180</v>
          </cell>
          <cell r="B2218" t="str">
            <v>Execução de fossa séptica conf. det. n. 8 dop 1.60 x 0.80 x 1.50 m</v>
          </cell>
          <cell r="C2218" t="str">
            <v>UN</v>
          </cell>
          <cell r="D2218">
            <v>945.83799999999997</v>
          </cell>
        </row>
        <row r="2219">
          <cell r="A2219" t="str">
            <v>001.30.02200</v>
          </cell>
          <cell r="B2219" t="str">
            <v>Execução de fossa séptica conf. det. n. 2.50 x 1.15 x 1.50 m</v>
          </cell>
          <cell r="C2219" t="str">
            <v>UN</v>
          </cell>
          <cell r="D2219">
            <v>1505.8289</v>
          </cell>
        </row>
        <row r="2220">
          <cell r="A2220" t="str">
            <v>001.30.02220</v>
          </cell>
          <cell r="B2220" t="str">
            <v>Execução de fossa séptica conf. det. n. 2.80 x 1.40 x 1.50 m</v>
          </cell>
          <cell r="C2220" t="str">
            <v>UN</v>
          </cell>
          <cell r="D2220">
            <v>1730.8420000000001</v>
          </cell>
        </row>
        <row r="2221">
          <cell r="A2221" t="str">
            <v>001.30.02240</v>
          </cell>
          <cell r="B2221" t="str">
            <v>Execução de fossa séptica conf. det. n. 3.20 x 1.60 x 1.80 m</v>
          </cell>
          <cell r="C2221" t="str">
            <v>UN</v>
          </cell>
          <cell r="D2221">
            <v>2305.0391</v>
          </cell>
        </row>
        <row r="2222">
          <cell r="A2222" t="str">
            <v>001.30.02260</v>
          </cell>
          <cell r="B2222" t="str">
            <v>Execução de fossa séptica conf. det. n. 3.50 x 1.75 x 1.80 m</v>
          </cell>
          <cell r="C2222" t="str">
            <v>UN</v>
          </cell>
          <cell r="D2222">
            <v>2623.4263000000001</v>
          </cell>
        </row>
        <row r="2223">
          <cell r="A2223" t="str">
            <v>001.30.02280</v>
          </cell>
          <cell r="B2223" t="str">
            <v>Execução de fossa séptica conf. det. n. 3.80 x 1.90 x 1.80 m</v>
          </cell>
          <cell r="C2223" t="str">
            <v>UN</v>
          </cell>
          <cell r="D2223">
            <v>2828.1091999999999</v>
          </cell>
        </row>
        <row r="2224">
          <cell r="A2224" t="str">
            <v>001.30.02300</v>
          </cell>
          <cell r="B2224" t="str">
            <v>Execução de fossa séptica conf. det. n. 4.00 x 2.00 x 1.80 m</v>
          </cell>
          <cell r="C2224" t="str">
            <v>UN</v>
          </cell>
          <cell r="D2224">
            <v>3054.4863999999998</v>
          </cell>
        </row>
        <row r="2225">
          <cell r="A2225" t="str">
            <v>001.30.02320</v>
          </cell>
          <cell r="B2225" t="str">
            <v>Execução de sumidouro conf. det. n. 12 dop diâmetro 1.50 m e profundidade 1.50 m</v>
          </cell>
          <cell r="C2225" t="str">
            <v>UN</v>
          </cell>
          <cell r="D2225">
            <v>560.08249999999998</v>
          </cell>
        </row>
        <row r="2226">
          <cell r="A2226" t="str">
            <v>001.30.02340</v>
          </cell>
          <cell r="B2226" t="str">
            <v>Execução de sumidouro conf. det. n. 12 dop diâmetro 1.50 e prof. 2.00 m</v>
          </cell>
          <cell r="C2226" t="str">
            <v>UN</v>
          </cell>
          <cell r="D2226">
            <v>642.35990000000004</v>
          </cell>
        </row>
        <row r="2227">
          <cell r="A2227" t="str">
            <v>001.30.02360</v>
          </cell>
          <cell r="B2227" t="str">
            <v>Execução de sumidouro conf. det. n. 12 dop diâmetro 1.50 e prof. 3.00 m</v>
          </cell>
          <cell r="C2227" t="str">
            <v>UN</v>
          </cell>
          <cell r="D2227">
            <v>820.81230000000005</v>
          </cell>
        </row>
        <row r="2228">
          <cell r="A2228" t="str">
            <v>001.30.02380</v>
          </cell>
          <cell r="B2228" t="str">
            <v>Execução de sumidouro conf. det. n. 12 dop diâmetro 2.00 m e prof. 2.00 m</v>
          </cell>
          <cell r="C2228" t="str">
            <v>UN</v>
          </cell>
          <cell r="D2228">
            <v>950.78189999999995</v>
          </cell>
        </row>
        <row r="2229">
          <cell r="A2229" t="str">
            <v>001.30.02400</v>
          </cell>
          <cell r="B2229" t="str">
            <v>Execução de sumidouro conf. det. n. 12 dop diâmetro 2.00 m e prof. 3.00m</v>
          </cell>
          <cell r="C2229" t="str">
            <v>UN</v>
          </cell>
          <cell r="D2229">
            <v>1198.4297999999999</v>
          </cell>
        </row>
        <row r="2230">
          <cell r="A2230" t="str">
            <v>001.30.02420</v>
          </cell>
          <cell r="B2230" t="str">
            <v>Execução de sumidouro conf. det. n. 12 dop diâmetro 2.00 e prof. 3.20 m</v>
          </cell>
          <cell r="C2230" t="str">
            <v>UN</v>
          </cell>
          <cell r="D2230">
            <v>1248.3798999999999</v>
          </cell>
        </row>
        <row r="2231">
          <cell r="A2231" t="str">
            <v>001.30.02440</v>
          </cell>
          <cell r="B2231" t="str">
            <v>Execução de sumidouro conf. det. n. 12 dop diâmetro 2.00 m e prof. 4.15 m</v>
          </cell>
          <cell r="C2231" t="str">
            <v>UN</v>
          </cell>
          <cell r="D2231">
            <v>1483.9576</v>
          </cell>
        </row>
        <row r="2232">
          <cell r="A2232" t="str">
            <v>001.30.02460</v>
          </cell>
          <cell r="B2232" t="str">
            <v>Execução de sumidouro conf. det. n. 12 dop diâmetro 2.00 m e prof. 4.50 m</v>
          </cell>
          <cell r="C2232" t="str">
            <v>UN</v>
          </cell>
          <cell r="D2232">
            <v>1570.9905000000001</v>
          </cell>
        </row>
        <row r="2233">
          <cell r="A2233" t="str">
            <v>001.30.02480</v>
          </cell>
          <cell r="B2233" t="str">
            <v>Execução de sumidouro conf. det. n. 12 dop diâmetro 3.00 m e prof. 3.30 m</v>
          </cell>
          <cell r="C2233" t="str">
            <v>UN</v>
          </cell>
          <cell r="D2233">
            <v>2263.4780000000001</v>
          </cell>
        </row>
        <row r="2234">
          <cell r="A2234" t="str">
            <v>001.30.02500</v>
          </cell>
          <cell r="B2234" t="str">
            <v>Execução de filtro anaeróbico d = 2,20 m, conforme detalhe do dvop</v>
          </cell>
          <cell r="C2234" t="str">
            <v>UN</v>
          </cell>
          <cell r="D2234">
            <v>7683.4363999999996</v>
          </cell>
        </row>
        <row r="2235">
          <cell r="A2235" t="str">
            <v>001.30.02520</v>
          </cell>
          <cell r="B2235" t="str">
            <v>Fornecimento e aplicação de brita nr. 4</v>
          </cell>
          <cell r="C2235" t="str">
            <v>M3</v>
          </cell>
          <cell r="D2235">
            <v>64.165499999999994</v>
          </cell>
        </row>
        <row r="2236">
          <cell r="A2236" t="str">
            <v>001.30.02540</v>
          </cell>
          <cell r="B2236" t="str">
            <v>Execução de vala de infiltração com seção trapezoidal (base menor=0,50 m, base maior = 1,00 m), contendo camadas de brita nº 04 (0,20 m e 0,30 m) areia grossa( 0,50 m) e aterro ( 0,50m), inclusive 2 (dois) tubos de pvc perfurados p/ dreno - 100 mm, conf</v>
          </cell>
          <cell r="C2236" t="str">
            <v>ML</v>
          </cell>
          <cell r="D2236">
            <v>68.803700000000006</v>
          </cell>
        </row>
        <row r="2237">
          <cell r="A2237" t="str">
            <v>001.30.02560</v>
          </cell>
          <cell r="B2237" t="str">
            <v>Fornecimento de camada filtrante de areia 0.30 m e pedra 0.60 m (seixo rolado) apiloado s/ escavação</v>
          </cell>
          <cell r="C2237" t="str">
            <v>ML</v>
          </cell>
          <cell r="D2237">
            <v>49.424999999999997</v>
          </cell>
        </row>
        <row r="2238">
          <cell r="A2238" t="str">
            <v>001.30.02580</v>
          </cell>
          <cell r="B2238" t="str">
            <v>Fornecimento de dreno em pedra (cascalho) seccao trapezoidal base maior 60 cm base menor 30 cm e altura 50 cm incl escavação</v>
          </cell>
          <cell r="C2238" t="str">
            <v>ML</v>
          </cell>
          <cell r="D2238">
            <v>8.6821000000000002</v>
          </cell>
        </row>
        <row r="2239">
          <cell r="A2239" t="str">
            <v>001.30.02600</v>
          </cell>
          <cell r="B2239" t="str">
            <v>Fornecimento de dreno com secao trapezoidal (base menor = 0,50m, base maior = 1,0m e altura de 1,50m), em camadas de brita nº 2 e 4 e areia grossa inclusive tubo de pvc perfurado d=1,50 mm, conf. det. do dvop</v>
          </cell>
          <cell r="C2239" t="str">
            <v>ML</v>
          </cell>
          <cell r="D2239">
            <v>80.192300000000003</v>
          </cell>
        </row>
        <row r="2240">
          <cell r="A2240" t="str">
            <v>001.31</v>
          </cell>
          <cell r="B2240" t="str">
            <v>INSTALAÇÕES HIDRÁULICAS - 'INSTALAÇÕES PREVENÇÃO E COMBATE A INCÊNDIO</v>
          </cell>
          <cell r="D2240">
            <v>2851.2635</v>
          </cell>
        </row>
        <row r="2241">
          <cell r="A2241" t="str">
            <v>001.31.00020</v>
          </cell>
          <cell r="B2241" t="str">
            <v>Fornecimento e instalação de extintor de incêndio tipo manual com suporte de parede, água pressurizada 10 litros</v>
          </cell>
          <cell r="C2241" t="str">
            <v>UN</v>
          </cell>
          <cell r="D2241">
            <v>53</v>
          </cell>
        </row>
        <row r="2242">
          <cell r="A2242" t="str">
            <v>001.31.00040</v>
          </cell>
          <cell r="B2242" t="str">
            <v>Fornecimento e instalação de extintor de incêndio tipo manual com suporte de parede, co2 - gas carbonico 6 kg</v>
          </cell>
          <cell r="C2242" t="str">
            <v>UN</v>
          </cell>
          <cell r="D2242">
            <v>178</v>
          </cell>
        </row>
        <row r="2243">
          <cell r="A2243" t="str">
            <v>001.31.00060</v>
          </cell>
          <cell r="B2243" t="str">
            <v>Fornecimento e instalação de extintor de incêndio tipo manual com suporte de parede, pó químico seco 4 kg</v>
          </cell>
          <cell r="C2243" t="str">
            <v>UN</v>
          </cell>
          <cell r="D2243">
            <v>55</v>
          </cell>
        </row>
        <row r="2244">
          <cell r="A2244" t="str">
            <v>001.31.00080</v>
          </cell>
          <cell r="B2244" t="str">
            <v>Fornecimento e instalação de tubo de aço galvanizado - classe média - tipo manesmann diâm. 63 mm</v>
          </cell>
          <cell r="C2244" t="str">
            <v>M</v>
          </cell>
          <cell r="D2244">
            <v>36.810600000000001</v>
          </cell>
        </row>
        <row r="2245">
          <cell r="A2245" t="str">
            <v>001.31.00100</v>
          </cell>
          <cell r="B2245" t="str">
            <v>Fornecimento e instalação de tubo de aço galvanizado - classe média - tipo manesmann diâm. 75 mm</v>
          </cell>
          <cell r="C2245" t="str">
            <v>M</v>
          </cell>
          <cell r="D2245">
            <v>41.1601</v>
          </cell>
        </row>
        <row r="2246">
          <cell r="A2246" t="str">
            <v>001.31.00120</v>
          </cell>
          <cell r="B2246" t="str">
            <v>Fornecimento e instalação de luva c/ rosca - classe 10 - tipo tupyou similar diâm. 63 mm</v>
          </cell>
          <cell r="C2246" t="str">
            <v>UN</v>
          </cell>
          <cell r="D2246">
            <v>19.0609</v>
          </cell>
        </row>
        <row r="2247">
          <cell r="A2247" t="str">
            <v>001.31.00140</v>
          </cell>
          <cell r="B2247" t="str">
            <v>Fornecimento e instalação de luva c/ rosca - classe 10 - tipo tupyou similar diâm. 75 mm</v>
          </cell>
          <cell r="C2247" t="str">
            <v>UN</v>
          </cell>
          <cell r="D2247">
            <v>26.9695</v>
          </cell>
        </row>
        <row r="2248">
          <cell r="A2248" t="str">
            <v>001.31.00160</v>
          </cell>
          <cell r="B2248" t="str">
            <v>Fornecimento e instalação de joelho 90º aço galvanizado - tupy ou similar diâm. 63 mm</v>
          </cell>
          <cell r="C2248" t="str">
            <v>UN</v>
          </cell>
          <cell r="D2248">
            <v>30.510899999999999</v>
          </cell>
        </row>
        <row r="2249">
          <cell r="A2249" t="str">
            <v>001.31.00180</v>
          </cell>
          <cell r="B2249" t="str">
            <v>Fornecimento e instalação de joelho 90º aço galvanizado - tupy ou similar diâm. 75 mm</v>
          </cell>
          <cell r="C2249" t="str">
            <v>UN</v>
          </cell>
          <cell r="D2249">
            <v>34.019500000000001</v>
          </cell>
        </row>
        <row r="2250">
          <cell r="A2250" t="str">
            <v>001.31.00200</v>
          </cell>
          <cell r="B2250" t="str">
            <v>Fornecimento e instalação de tee aço galvanizado - tupyou similar diâm. 63 mm</v>
          </cell>
          <cell r="C2250" t="str">
            <v>UN</v>
          </cell>
          <cell r="D2250">
            <v>30.569500000000001</v>
          </cell>
        </row>
        <row r="2251">
          <cell r="A2251" t="str">
            <v>001.31.00220</v>
          </cell>
          <cell r="B2251" t="str">
            <v>Fornecimento e instalação de flanges aço galvanizado - tupy ou similar diâm. 75 mm</v>
          </cell>
          <cell r="C2251" t="str">
            <v>UN</v>
          </cell>
          <cell r="D2251">
            <v>24.5395</v>
          </cell>
        </row>
        <row r="2252">
          <cell r="A2252" t="str">
            <v>001.31.00240</v>
          </cell>
          <cell r="B2252" t="str">
            <v>Fornecimento e instalação de niple duplo de aço galvanizado - tupy ou similar diâm. 63 mm</v>
          </cell>
          <cell r="C2252" t="str">
            <v>UN</v>
          </cell>
          <cell r="D2252">
            <v>14.510899999999999</v>
          </cell>
        </row>
        <row r="2253">
          <cell r="A2253" t="str">
            <v>001.31.00260</v>
          </cell>
          <cell r="B2253" t="str">
            <v>Fornecimento e instalação de niple duplo de aço galvanizado - tupy ou similar diâm. 75 mm</v>
          </cell>
          <cell r="C2253" t="str">
            <v>UN</v>
          </cell>
          <cell r="D2253">
            <v>20.369499999999999</v>
          </cell>
        </row>
        <row r="2254">
          <cell r="A2254" t="str">
            <v>001.31.00280</v>
          </cell>
          <cell r="B2254" t="str">
            <v>Fornecimento e instalação de luva de união c/ assento em bronze - tupy ou similar diâm. 63 mm</v>
          </cell>
          <cell r="C2254" t="str">
            <v>UN</v>
          </cell>
          <cell r="D2254">
            <v>38.019500000000001</v>
          </cell>
        </row>
        <row r="2255">
          <cell r="A2255" t="str">
            <v>001.31.00300</v>
          </cell>
          <cell r="B2255" t="str">
            <v>Fornecimento e instalação de luva de união c/ assento em bronze - tupy ou similar diâm. 75 mm</v>
          </cell>
          <cell r="C2255" t="str">
            <v>UN</v>
          </cell>
          <cell r="D2255">
            <v>47.078200000000002</v>
          </cell>
        </row>
        <row r="2256">
          <cell r="A2256" t="str">
            <v>001.31.00320</v>
          </cell>
          <cell r="B2256" t="str">
            <v>Fornecimento e instalação de registro de gaveta em bronze - acabamento bruto - niágara  ou similar diâm.63 mm</v>
          </cell>
          <cell r="C2256" t="str">
            <v>UN</v>
          </cell>
          <cell r="D2256">
            <v>93.778700000000001</v>
          </cell>
        </row>
        <row r="2257">
          <cell r="A2257" t="str">
            <v>001.31.00340</v>
          </cell>
          <cell r="B2257" t="str">
            <v>Fornecimento e instalação de registro de gaveta em bronze - acabamento bruto - niágara  ou similar diâm.75 mm</v>
          </cell>
          <cell r="C2257" t="str">
            <v>UN</v>
          </cell>
          <cell r="D2257">
            <v>147.45590000000001</v>
          </cell>
        </row>
        <row r="2258">
          <cell r="A2258" t="str">
            <v>001.31.00360</v>
          </cell>
          <cell r="B2258" t="str">
            <v>Fornecimento e instalação de válvula de retenção - aço galvanizado tupy classe 150 4 portinhola diâm.63 mm</v>
          </cell>
          <cell r="C2258" t="str">
            <v>UN</v>
          </cell>
          <cell r="D2258">
            <v>116.59869999999999</v>
          </cell>
        </row>
        <row r="2259">
          <cell r="A2259" t="str">
            <v>001.31.00380</v>
          </cell>
          <cell r="B2259" t="str">
            <v>Fornecimento e instalação de válvula globo angular  - classe 150  diâm. 63 mm</v>
          </cell>
          <cell r="C2259" t="str">
            <v>UN</v>
          </cell>
          <cell r="D2259">
            <v>72.828699999999998</v>
          </cell>
        </row>
        <row r="2260">
          <cell r="A2260" t="str">
            <v>001.31.00400</v>
          </cell>
          <cell r="B2260" t="str">
            <v>Fornecimento e instalação de engate rápido """"""""""""""""""""""""""""""""store"""""""""""""""""""""""""""""""" c/ red. ferro galvanizado diâm. 63 mm x 35 mm</v>
          </cell>
          <cell r="C2260" t="str">
            <v>UN</v>
          </cell>
          <cell r="D2260">
            <v>10.872199999999999</v>
          </cell>
        </row>
        <row r="2261">
          <cell r="A2261" t="str">
            <v>001.31.00420</v>
          </cell>
          <cell r="B2261" t="str">
            <v>Fornecimento e instalaçao de hidrante de recalque composto de caixa da alvenaria, registro globo angular 45º - 2 1/2"""""""""""""""""""""""""""""""" e tampa de fºfº 40 x 60 cm</v>
          </cell>
          <cell r="C2261" t="str">
            <v>UN</v>
          </cell>
          <cell r="D2261">
            <v>203.1936</v>
          </cell>
        </row>
        <row r="2262">
          <cell r="A2262" t="str">
            <v>001.31.00440</v>
          </cell>
          <cell r="B2262" t="str">
            <v>Fornecimento e instalação de hidrante de recalque composto de caixa de alvenaria, registro globo angular 45º - 1 1/2"""""""""""""""""""""""""""""""" e tampa de fºfº 80x60 cm</v>
          </cell>
          <cell r="C2262" t="str">
            <v>UN</v>
          </cell>
          <cell r="D2262">
            <v>327.75049999999999</v>
          </cell>
        </row>
        <row r="2263">
          <cell r="A2263" t="str">
            <v>001.31.00460</v>
          </cell>
          <cell r="B2263" t="str">
            <v>Fornecimento e instalação de mangueira fibra sintética pura tipo i graud - tipo parsh ou similar com adaptador para esguicho diâm. 1 1/2 pol</v>
          </cell>
          <cell r="C2263" t="str">
            <v>UN</v>
          </cell>
          <cell r="D2263">
            <v>180.34780000000001</v>
          </cell>
        </row>
        <row r="2264">
          <cell r="A2264" t="str">
            <v>001.31.00480</v>
          </cell>
          <cell r="B2264" t="str">
            <v xml:space="preserve">Fornecimento e instalação de armário em chapa de aço-com ventilação adequada - visor c/ inspeção c/ inscrição incêndio, cesto interno p/ abrigo da mangueira e esguicho tipo """"""""""""""""""""""""""""""""bucha spiero"""""""""""""""""""""""""""""""" ou </v>
          </cell>
          <cell r="C2264" t="str">
            <v>UN</v>
          </cell>
          <cell r="D2264">
            <v>109.34780000000001</v>
          </cell>
        </row>
        <row r="2265">
          <cell r="A2265" t="str">
            <v>001.31.00500</v>
          </cell>
          <cell r="B2265" t="str">
            <v>Fornecimento e instalação de bomba de incêndio - 4 cv/220v -1.800 rpm/60 hz - hm = 20 mca q=600l/min</v>
          </cell>
          <cell r="C2265" t="str">
            <v>UN</v>
          </cell>
          <cell r="D2265">
            <v>862.69560000000001</v>
          </cell>
        </row>
        <row r="2266">
          <cell r="A2266" t="str">
            <v>001.31.00520</v>
          </cell>
          <cell r="B2266" t="str">
            <v>Válvula  de pé com crivo de pvc tipo rosqueável 3/4 pol</v>
          </cell>
          <cell r="C2266" t="str">
            <v>UN</v>
          </cell>
          <cell r="D2266">
            <v>14.979100000000001</v>
          </cell>
        </row>
        <row r="2267">
          <cell r="A2267" t="str">
            <v>001.31.00540</v>
          </cell>
          <cell r="B2267" t="str">
            <v>Válvula  de pé com crivo de pvc tipo rosqueável 1 pol</v>
          </cell>
          <cell r="C2267" t="str">
            <v>UN</v>
          </cell>
          <cell r="D2267">
            <v>17.349900000000002</v>
          </cell>
        </row>
        <row r="2268">
          <cell r="A2268" t="str">
            <v>001.31.00560</v>
          </cell>
          <cell r="B2268" t="str">
            <v>Válvula  de pé com crivo de pvc tipo rosqueável 1 1/4 pol</v>
          </cell>
          <cell r="C2268" t="str">
            <v>UN</v>
          </cell>
          <cell r="D2268">
            <v>22.407900000000001</v>
          </cell>
        </row>
        <row r="2269">
          <cell r="A2269" t="str">
            <v>001.31.00580</v>
          </cell>
          <cell r="B2269" t="str">
            <v>Válvula de pé com crivo de pvc tipo rosqueável 1 1/2 pol</v>
          </cell>
          <cell r="C2269" t="str">
            <v>UN</v>
          </cell>
          <cell r="D2269">
            <v>22.038499999999999</v>
          </cell>
        </row>
        <row r="2270">
          <cell r="A2270" t="str">
            <v>001.32</v>
          </cell>
          <cell r="B2270" t="str">
            <v>INSTALAÇÕES HIDRÁULICA -  DRENAGEM</v>
          </cell>
          <cell r="D2270">
            <v>9055.3881000000001</v>
          </cell>
        </row>
        <row r="2271">
          <cell r="A2271" t="str">
            <v>001.32.00020</v>
          </cell>
          <cell r="B2271" t="str">
            <v>Fornecimento, assentamento e rejuntamento de tubos de concreto com armação simples 1000 mm</v>
          </cell>
          <cell r="C2271" t="str">
            <v>ML</v>
          </cell>
          <cell r="D2271">
            <v>152.85589999999999</v>
          </cell>
        </row>
        <row r="2272">
          <cell r="A2272" t="str">
            <v>001.32.00040</v>
          </cell>
          <cell r="B2272" t="str">
            <v>Fornecimento, assentamento e rejuntamento de tubos de concreto com armação simples  800 mm</v>
          </cell>
          <cell r="C2272" t="str">
            <v>ML</v>
          </cell>
          <cell r="D2272">
            <v>111.66160000000001</v>
          </cell>
        </row>
        <row r="2273">
          <cell r="A2273" t="str">
            <v>001.32.00060</v>
          </cell>
          <cell r="B2273" t="str">
            <v>Fornecimento, assentamento e rejuntamento de tubos de concreto com armação simples  600 mm</v>
          </cell>
          <cell r="C2273" t="str">
            <v>ML</v>
          </cell>
          <cell r="D2273">
            <v>84.84</v>
          </cell>
        </row>
        <row r="2274">
          <cell r="A2274" t="str">
            <v>001.32.00080</v>
          </cell>
          <cell r="B2274" t="str">
            <v>Fornecimento, assentamento e rejuntamento de tubos de concreto com armação simples  400 mm</v>
          </cell>
          <cell r="C2274" t="str">
            <v>ML</v>
          </cell>
          <cell r="D2274">
            <v>44.761699999999998</v>
          </cell>
        </row>
        <row r="2275">
          <cell r="A2275" t="str">
            <v>001.32.00100</v>
          </cell>
          <cell r="B2275" t="str">
            <v>Fornecimento, assentamento e rejuntamento de tubos de concreto com armação dupla 1000 mm</v>
          </cell>
          <cell r="C2275" t="str">
            <v>ML</v>
          </cell>
          <cell r="D2275">
            <v>187.85589999999999</v>
          </cell>
        </row>
        <row r="2276">
          <cell r="A2276" t="str">
            <v>001.32.00120</v>
          </cell>
          <cell r="B2276" t="str">
            <v>Fornecimento, assentamento e rejuntamento de tubos de concreto com armação dupla  800 mm</v>
          </cell>
          <cell r="C2276" t="str">
            <v>ML</v>
          </cell>
          <cell r="D2276">
            <v>135.66159999999999</v>
          </cell>
        </row>
        <row r="2277">
          <cell r="A2277" t="str">
            <v>001.32.00140</v>
          </cell>
          <cell r="B2277" t="str">
            <v>Fornecimento, assentamento e rejuntamento de tubos de concreto sem armação  600 mm</v>
          </cell>
          <cell r="C2277" t="str">
            <v>ML</v>
          </cell>
          <cell r="D2277">
            <v>66.078599999999994</v>
          </cell>
        </row>
        <row r="2278">
          <cell r="A2278" t="str">
            <v>001.32.00160</v>
          </cell>
          <cell r="B2278" t="str">
            <v>Fornecimento, assentamento e rejuntamento de tubos de concreto sem armação  500 mm</v>
          </cell>
          <cell r="C2278" t="str">
            <v>ML</v>
          </cell>
          <cell r="D2278">
            <v>48.900599999999997</v>
          </cell>
        </row>
        <row r="2279">
          <cell r="A2279" t="str">
            <v>001.32.00180</v>
          </cell>
          <cell r="B2279" t="str">
            <v>Fornecimento, assentamento e rejuntamento de tubos de concreto sem armação  400 mm</v>
          </cell>
          <cell r="C2279" t="str">
            <v>ML</v>
          </cell>
          <cell r="D2279">
            <v>34.761699999999998</v>
          </cell>
        </row>
        <row r="2280">
          <cell r="A2280" t="str">
            <v>001.32.00200</v>
          </cell>
          <cell r="B2280" t="str">
            <v>Fornecimento, assentamento e rejuntamento de tubos de concreto sem armação  350 mm</v>
          </cell>
          <cell r="C2280" t="str">
            <v>ML</v>
          </cell>
          <cell r="D2280">
            <v>26.261700000000001</v>
          </cell>
        </row>
        <row r="2281">
          <cell r="A2281" t="str">
            <v>001.32.00220</v>
          </cell>
          <cell r="B2281" t="str">
            <v>Fornecimento, assentamento e rejuntamento de tubos de concreto sem armação  300 mm</v>
          </cell>
          <cell r="C2281" t="str">
            <v>ML</v>
          </cell>
          <cell r="D2281">
            <v>21.886700000000001</v>
          </cell>
        </row>
        <row r="2282">
          <cell r="A2282" t="str">
            <v>001.32.00240</v>
          </cell>
          <cell r="B2282" t="str">
            <v>Fornecimento, assentamento e rejuntamento de tubos de concreto sem armação  250 mm</v>
          </cell>
          <cell r="C2282" t="str">
            <v>ML</v>
          </cell>
          <cell r="D2282">
            <v>20.886700000000001</v>
          </cell>
        </row>
        <row r="2283">
          <cell r="A2283" t="str">
            <v>001.32.00260</v>
          </cell>
          <cell r="B2283" t="str">
            <v>Fornecimento, assentamento e rejuntamento de tubos de concreto sem armação  200 mm</v>
          </cell>
          <cell r="C2283" t="str">
            <v>ML</v>
          </cell>
          <cell r="D2283">
            <v>16.670000000000002</v>
          </cell>
        </row>
        <row r="2284">
          <cell r="A2284" t="str">
            <v>001.32.00280</v>
          </cell>
          <cell r="B2284" t="str">
            <v>Fornecimento, assentamento e rejuntamento de tubos de concreto sem armação  150 mm</v>
          </cell>
          <cell r="C2284" t="str">
            <v>ML</v>
          </cell>
          <cell r="D2284">
            <v>14.67</v>
          </cell>
        </row>
        <row r="2285">
          <cell r="A2285" t="str">
            <v>001.32.00300</v>
          </cell>
          <cell r="B2285" t="str">
            <v>Fornecimento, assentamento e rejuntamento de tubos de concreto sem armação  100 mm</v>
          </cell>
          <cell r="C2285" t="str">
            <v>ML</v>
          </cell>
          <cell r="D2285">
            <v>11.6266</v>
          </cell>
        </row>
        <row r="2286">
          <cell r="A2286" t="str">
            <v>001.32.00320</v>
          </cell>
          <cell r="B2286" t="str">
            <v>Fornecimento, assentamento e rejuntamento de tubo de concreto poroso mf 400 mm</v>
          </cell>
          <cell r="C2286" t="str">
            <v>ML</v>
          </cell>
          <cell r="D2286">
            <v>38.261699999999998</v>
          </cell>
        </row>
        <row r="2287">
          <cell r="A2287" t="str">
            <v>001.32.00340</v>
          </cell>
          <cell r="B2287" t="str">
            <v>Fornecimento, assentamento e rejuntamento de tubo de concreto poroso mf 350 mm</v>
          </cell>
          <cell r="C2287" t="str">
            <v>ML</v>
          </cell>
          <cell r="D2287">
            <v>28.261700000000001</v>
          </cell>
        </row>
        <row r="2288">
          <cell r="A2288" t="str">
            <v>001.32.00360</v>
          </cell>
          <cell r="B2288" t="str">
            <v>Fornecimento, assentamento e rejuntamento de tubo de concreto poroso mf 300 mm</v>
          </cell>
          <cell r="C2288" t="str">
            <v>ML</v>
          </cell>
          <cell r="D2288">
            <v>19.161899999999999</v>
          </cell>
        </row>
        <row r="2289">
          <cell r="A2289" t="str">
            <v>001.32.00380</v>
          </cell>
          <cell r="B2289" t="str">
            <v>Fornecimento, assentamento e rejuntamento de tubo de concreto poroso mf 250 mm</v>
          </cell>
          <cell r="C2289" t="str">
            <v>ML</v>
          </cell>
          <cell r="D2289">
            <v>22.386700000000001</v>
          </cell>
        </row>
        <row r="2290">
          <cell r="A2290" t="str">
            <v>001.32.00400</v>
          </cell>
          <cell r="B2290" t="str">
            <v>Fornecimento, assentamento e rejuntamento de tubo de concreto poroso mf 200 mm</v>
          </cell>
          <cell r="C2290" t="str">
            <v>ML</v>
          </cell>
          <cell r="D2290">
            <v>16.87</v>
          </cell>
        </row>
        <row r="2291">
          <cell r="A2291" t="str">
            <v>001.32.00420</v>
          </cell>
          <cell r="B2291" t="str">
            <v>Fornecimento, assentamento e rejuntamento de tubo de concreto poroso mf 150 mm</v>
          </cell>
          <cell r="C2291" t="str">
            <v>ML</v>
          </cell>
          <cell r="D2291">
            <v>16.87</v>
          </cell>
        </row>
        <row r="2292">
          <cell r="A2292" t="str">
            <v>001.32.00440</v>
          </cell>
          <cell r="B2292" t="str">
            <v>Fornecimento, assentamento e rejuntamento de tubo de concreto poroso mf 100 mm</v>
          </cell>
          <cell r="C2292" t="str">
            <v>ML</v>
          </cell>
          <cell r="D2292">
            <v>20.426600000000001</v>
          </cell>
        </row>
        <row r="2293">
          <cell r="A2293" t="str">
            <v>001.32.00460</v>
          </cell>
          <cell r="B2293" t="str">
            <v>Execução de poço de visita conf. det. do dop n.4 120x120x50 cm</v>
          </cell>
          <cell r="C2293" t="str">
            <v>UN</v>
          </cell>
          <cell r="D2293">
            <v>713.39660000000003</v>
          </cell>
        </row>
        <row r="2294">
          <cell r="A2294" t="str">
            <v>001.32.00480</v>
          </cell>
          <cell r="B2294" t="str">
            <v>Execução de poço de visita conf. det. do dop n.4 120x120x70 cm</v>
          </cell>
          <cell r="C2294" t="str">
            <v>UN</v>
          </cell>
          <cell r="D2294">
            <v>802.01900000000001</v>
          </cell>
        </row>
        <row r="2295">
          <cell r="A2295" t="str">
            <v>001.32.00500</v>
          </cell>
          <cell r="B2295" t="str">
            <v>Execução de poço de visita conf. det. do dop n.4 120x120x105 cm</v>
          </cell>
          <cell r="C2295" t="str">
            <v>UN</v>
          </cell>
          <cell r="D2295">
            <v>962.78200000000004</v>
          </cell>
        </row>
        <row r="2296">
          <cell r="A2296" t="str">
            <v>001.32.00520</v>
          </cell>
          <cell r="B2296" t="str">
            <v>Execução de poço de visita conf. det. do dop n.4 120x120x120 cm</v>
          </cell>
          <cell r="C2296" t="str">
            <v>UN</v>
          </cell>
          <cell r="D2296">
            <v>1017.7448000000001</v>
          </cell>
        </row>
        <row r="2297">
          <cell r="A2297" t="str">
            <v>001.32.00540</v>
          </cell>
          <cell r="B2297" t="str">
            <v>Execução de poço de visita conf. det. do dop n.4 120x120x140 cm</v>
          </cell>
          <cell r="C2297" t="str">
            <v>UN</v>
          </cell>
          <cell r="D2297">
            <v>1466.7221999999999</v>
          </cell>
        </row>
        <row r="2298">
          <cell r="A2298" t="str">
            <v>001.32.00560</v>
          </cell>
          <cell r="B2298" t="str">
            <v>Execução de poço de visita conf. det. do dop n.4 120x120x190 cm</v>
          </cell>
          <cell r="C2298" t="str">
            <v>UN</v>
          </cell>
          <cell r="D2298">
            <v>1379.7886000000001</v>
          </cell>
        </row>
        <row r="2299">
          <cell r="A2299" t="str">
            <v>001.32.00580</v>
          </cell>
          <cell r="B2299" t="str">
            <v>Execução de caixa de passagem conf. det. n7 do dop 30 x 30 x 30 cm</v>
          </cell>
          <cell r="C2299" t="str">
            <v>UN</v>
          </cell>
          <cell r="D2299">
            <v>38.521000000000001</v>
          </cell>
        </row>
        <row r="2300">
          <cell r="A2300" t="str">
            <v>001.32.00600</v>
          </cell>
          <cell r="B2300" t="str">
            <v>Execução de caixa de passagem conf. det. n7 do dop 40 x 40 x 40 cm</v>
          </cell>
          <cell r="C2300" t="str">
            <v>UN</v>
          </cell>
          <cell r="D2300">
            <v>58.170699999999997</v>
          </cell>
        </row>
        <row r="2301">
          <cell r="A2301" t="str">
            <v>001.32.00620</v>
          </cell>
          <cell r="B2301" t="str">
            <v>Execução de caixa de passagem conf. det. n7 do dop 50 x 50 x 50 cm</v>
          </cell>
          <cell r="C2301" t="str">
            <v>UN</v>
          </cell>
          <cell r="D2301">
            <v>83.568399999999997</v>
          </cell>
        </row>
        <row r="2302">
          <cell r="A2302" t="str">
            <v>001.32.00640</v>
          </cell>
          <cell r="B2302" t="str">
            <v>Execução de caixa de passagem conf. det. n7 do dop 60 x 60 x 60 cm</v>
          </cell>
          <cell r="C2302" t="str">
            <v>UN</v>
          </cell>
          <cell r="D2302">
            <v>111.22369999999999</v>
          </cell>
        </row>
        <row r="2303">
          <cell r="A2303" t="str">
            <v>001.32.00660</v>
          </cell>
          <cell r="B2303" t="str">
            <v>Execução de caixa de passagem conf. det. n7 do dop 70 x 70 x 70 cm</v>
          </cell>
          <cell r="C2303" t="str">
            <v>UN</v>
          </cell>
          <cell r="D2303">
            <v>114.01609999999999</v>
          </cell>
        </row>
        <row r="2304">
          <cell r="A2304" t="str">
            <v>001.32.00680</v>
          </cell>
          <cell r="B2304" t="str">
            <v>Execução de caixa de passagem conf. det. n7 do dop 80 x 80 x 80 cm</v>
          </cell>
          <cell r="C2304" t="str">
            <v>UN</v>
          </cell>
          <cell r="D2304">
            <v>144.916</v>
          </cell>
        </row>
        <row r="2305">
          <cell r="A2305" t="str">
            <v>001.32.00700</v>
          </cell>
          <cell r="B2305" t="str">
            <v>Execução de caixa de passagem conf. det. n7 do dop 90 x 90 x 90 cm</v>
          </cell>
          <cell r="C2305" t="str">
            <v>UN</v>
          </cell>
          <cell r="D2305">
            <v>240.52289999999999</v>
          </cell>
        </row>
        <row r="2306">
          <cell r="A2306" t="str">
            <v>001.32.00720</v>
          </cell>
          <cell r="B2306" t="str">
            <v>Execução de caixa de passagem conf. det. n7 do dop 100 x 100 x 100 cm</v>
          </cell>
          <cell r="C2306" t="str">
            <v>UN</v>
          </cell>
          <cell r="D2306">
            <v>241.42449999999999</v>
          </cell>
        </row>
        <row r="2307">
          <cell r="A2307" t="str">
            <v>001.32.00740</v>
          </cell>
          <cell r="B2307" t="str">
            <v>Execução de caixa de passagem conf. det. n7 do dop 100 x 100 x 120 cm</v>
          </cell>
          <cell r="C2307" t="str">
            <v>UND</v>
          </cell>
          <cell r="D2307">
            <v>328.23200000000003</v>
          </cell>
        </row>
        <row r="2308">
          <cell r="A2308" t="str">
            <v>001.32.00760</v>
          </cell>
          <cell r="B2308" t="str">
            <v>Execução de caixa de passagem conf. det. n7 do dop 110 x 0.60 x 0.60 cm</v>
          </cell>
          <cell r="C2308" t="str">
            <v>UN</v>
          </cell>
          <cell r="D2308">
            <v>10.446400000000001</v>
          </cell>
        </row>
        <row r="2309">
          <cell r="A2309" t="str">
            <v>001.32.00780</v>
          </cell>
          <cell r="B2309" t="str">
            <v>Execução de caixa de areia dimensões 50 x 50 x 50 cm</v>
          </cell>
          <cell r="C2309" t="str">
            <v>UN</v>
          </cell>
          <cell r="D2309">
            <v>83.568399999999997</v>
          </cell>
        </row>
        <row r="2310">
          <cell r="A2310" t="str">
            <v>001.32.00800</v>
          </cell>
          <cell r="B2310" t="str">
            <v>Execução de canaleta para talude em concreto simples traço 1:4:8 com 8 cm espessura conf. det. n.32 e 33</v>
          </cell>
          <cell r="C2310" t="str">
            <v>ML</v>
          </cell>
          <cell r="D2310">
            <v>27.137599999999999</v>
          </cell>
        </row>
        <row r="2311">
          <cell r="A2311" t="str">
            <v>001.32.00820</v>
          </cell>
          <cell r="B2311" t="str">
            <v>Execução de canaleta de tijolo maciço 1/2 vez l=0,30 m inclusive grelha de ferro</v>
          </cell>
          <cell r="C2311" t="str">
            <v>ML</v>
          </cell>
          <cell r="D2311">
            <v>74.569299999999998</v>
          </cell>
        </row>
        <row r="2312">
          <cell r="A2312" t="str">
            <v>001.32.00840</v>
          </cell>
          <cell r="B2312" t="str">
            <v>Fornecimento e instalação de aspersor ou irrigador para jardim de metal - diamentro 3/4"</v>
          </cell>
          <cell r="C2312" t="str">
            <v>UN</v>
          </cell>
          <cell r="D2312">
            <v>15</v>
          </cell>
        </row>
        <row r="2313">
          <cell r="A2313" t="str">
            <v>001.33</v>
          </cell>
          <cell r="B2313" t="str">
            <v>LIMPEZA</v>
          </cell>
          <cell r="D2313">
            <v>20.2258</v>
          </cell>
        </row>
        <row r="2314">
          <cell r="A2314" t="str">
            <v>001.33.00020</v>
          </cell>
          <cell r="B2314" t="str">
            <v>Limpeza geral da obra</v>
          </cell>
          <cell r="C2314" t="str">
            <v>M2</v>
          </cell>
          <cell r="D2314">
            <v>1.9035</v>
          </cell>
        </row>
        <row r="2315">
          <cell r="A2315" t="str">
            <v>001.33.00040</v>
          </cell>
          <cell r="B2315" t="str">
            <v>Execução de limpeza geral da obra com retirada de entulhos</v>
          </cell>
          <cell r="C2315" t="str">
            <v>M2</v>
          </cell>
          <cell r="D2315">
            <v>1.9035</v>
          </cell>
        </row>
        <row r="2316">
          <cell r="A2316" t="str">
            <v>001.33.00060</v>
          </cell>
          <cell r="B2316" t="str">
            <v>Execução de Retirada de entulho em Caçamba inclusive Carga Manual distância até 30 mts</v>
          </cell>
          <cell r="C2316" t="str">
            <v>M3</v>
          </cell>
          <cell r="D2316">
            <v>16.418800000000001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</sheetNames>
    <definedNames>
      <definedName name="VExtenso"/>
    </defined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 Hidráulico"/>
      <sheetName val="DADOS PARA GRÁFICO"/>
      <sheetName val="DADOS GRAFICOS"/>
      <sheetName val="ENCARGOS SOCIAIS"/>
      <sheetName val="RESUMO"/>
      <sheetName val="ESTRUTURAL BLOCO"/>
      <sheetName val="ESTRUTURAL REFEITÓRIO"/>
      <sheetName val="ESTRUTURAL VESTIARIO"/>
      <sheetName val="Quant Ref Bloco de Ens+Quadra"/>
      <sheetName val="Quant Vestiarios"/>
      <sheetName val="Quant Bloco Salas + Urbanização"/>
      <sheetName val="Quant Const. Refeitorio"/>
      <sheetName val="Quant Vestiários + Quadra"/>
      <sheetName val="PLANILHA ORÇAMENTARIA"/>
      <sheetName val="CADERNO COMPOSIÇÕES UNITARIAS"/>
      <sheetName val="CRONOGRAMA"/>
      <sheetName val="BDI - Aliquota ISSQN - 5,0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E4">
            <v>480.26</v>
          </cell>
        </row>
      </sheetData>
      <sheetData sheetId="12">
        <row r="4">
          <cell r="E4">
            <v>1774.78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VENARIA"/>
      <sheetName val="PINTURA "/>
      <sheetName val="FORRO PVC  E PINT. LAJE  E COBE"/>
      <sheetName val="IMPERMEABILIZAÇAO BLOCO EDUC."/>
      <sheetName val="PASTILHA AZUL BLOCO  EDUC."/>
      <sheetName val="CHAPISCO REB BLOCO EDUCACIONAL "/>
      <sheetName val="PISO BLOCO EDUCACIONAL "/>
      <sheetName val="DIVISÓRIAS MARMORITE"/>
      <sheetName val="BRISE BLOCO EDUC."/>
      <sheetName val="REVESTIMENTO G"/>
      <sheetName val="EMBOÇO E PINTURA"/>
      <sheetName val="IMPERMEABILIZAÇÃO"/>
      <sheetName val="FORRO"/>
      <sheetName val="REV. EXTERNO"/>
      <sheetName val="BWC COMPLEMENTARES"/>
      <sheetName val="COBERTURA"/>
    </sheetNames>
    <sheetDataSet>
      <sheetData sheetId="0" refreshError="1"/>
      <sheetData sheetId="1" refreshError="1"/>
      <sheetData sheetId="2" refreshError="1">
        <row r="11">
          <cell r="F11">
            <v>64.850000000000009</v>
          </cell>
        </row>
      </sheetData>
      <sheetData sheetId="3" refreshError="1"/>
      <sheetData sheetId="4" refreshError="1">
        <row r="12">
          <cell r="M12">
            <v>220.72000000000003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ADOS PARA GRÁFICO"/>
      <sheetName val="PLANILHA ORÇAMENTARIA (2)"/>
      <sheetName val="Quant Const - 6 Salas"/>
      <sheetName val="CRONOGRAMA"/>
      <sheetName val="INDICE DE CUMPRIMENTO DE CRONOG"/>
      <sheetName val="Metálica"/>
      <sheetName val="Contrapiso Armado"/>
    </sheetNames>
    <sheetDataSet>
      <sheetData sheetId="0"/>
      <sheetData sheetId="1"/>
      <sheetData sheetId="2"/>
      <sheetData sheetId="3"/>
      <sheetData sheetId="4">
        <row r="4">
          <cell r="G4" t="str">
            <v xml:space="preserve">PERÍODO : 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8" tint="0.59999389629810485"/>
  </sheetPr>
  <dimension ref="A1:D94"/>
  <sheetViews>
    <sheetView showGridLines="0" view="pageBreakPreview" zoomScale="60" zoomScaleNormal="100" zoomScalePageLayoutView="70" workbookViewId="0">
      <selection activeCell="D6" sqref="D6"/>
    </sheetView>
  </sheetViews>
  <sheetFormatPr defaultRowHeight="12.75" outlineLevelRow="1" x14ac:dyDescent="0.25"/>
  <cols>
    <col min="1" max="1" width="10.7109375" style="3" customWidth="1"/>
    <col min="2" max="2" width="55.85546875" style="4" customWidth="1"/>
    <col min="3" max="3" width="12.7109375" style="4" customWidth="1"/>
    <col min="4" max="4" width="18.42578125" style="3" bestFit="1" customWidth="1"/>
    <col min="5" max="16384" width="9.140625" style="4"/>
  </cols>
  <sheetData>
    <row r="1" spans="1:4" ht="114.75" customHeight="1" x14ac:dyDescent="0.25">
      <c r="A1" s="39" t="s">
        <v>2</v>
      </c>
      <c r="B1" s="743" t="str">
        <f>'PLANILHA ORÇAMENTARIA'!B1:H1</f>
        <v xml:space="preserve">Construção de Escola Padrão SEDUC/MT, constituída de:  16 salas de aula, sala de articulação, biblioteca e laboratórios de física, informática e química; Espaços Administrativos – diretoria, secretaria, coordenadoria, sala de professores, arquivo, copa, e sanitários; Refeitório  –  Cozinha com área de higienização, cocção, depósito de alimentos, depósito de utensílios, sanitários e serviços; Quadra Poliesportiva com vestiários feminino e masculino incluindo PCD F/M; instalações elétricas de baixa tensão, posto de transformação, SPDA , instalações hidrossanitárias e instalações combate a incêndio e pânico,  observando as normas vigentes de acessibilidade e segurança, na EE SÃO SIMÃO – Localizada no município de Várzea Grande/MT. </v>
      </c>
      <c r="C1" s="743"/>
      <c r="D1" s="743"/>
    </row>
    <row r="2" spans="1:4" x14ac:dyDescent="0.25">
      <c r="A2" s="77" t="s">
        <v>44</v>
      </c>
      <c r="B2" s="8" t="str">
        <f>'PLANILHA ORÇAMENTARIA'!B3</f>
        <v>Várzea Grande/MT</v>
      </c>
      <c r="C2" s="8"/>
    </row>
    <row r="3" spans="1:4" x14ac:dyDescent="0.25">
      <c r="A3" s="82" t="s">
        <v>45</v>
      </c>
      <c r="B3" s="83" t="str">
        <f>'PLANILHA ORÇAMENTARIA'!B4</f>
        <v>Rua  Dep. Oscar Soares, Quadra 68,  S/ nº, Loteamento São Simão - Varzea Grande/ MT</v>
      </c>
      <c r="C3" s="83"/>
      <c r="D3" s="84"/>
    </row>
    <row r="4" spans="1:4" x14ac:dyDescent="0.25">
      <c r="A4" s="25"/>
      <c r="B4" s="8"/>
      <c r="C4" s="8"/>
      <c r="D4" s="9"/>
    </row>
    <row r="5" spans="1:4" x14ac:dyDescent="0.25">
      <c r="A5" s="25" t="s">
        <v>33</v>
      </c>
      <c r="B5" s="28">
        <f>'PLANILHA ORÇAMENTARIA'!E3</f>
        <v>0.26729999999999998</v>
      </c>
      <c r="C5" s="26" t="s">
        <v>48</v>
      </c>
      <c r="D5" s="29">
        <f>D21/4392.46</f>
        <v>1944.6220386753666</v>
      </c>
    </row>
    <row r="6" spans="1:4" x14ac:dyDescent="0.25">
      <c r="A6" s="25" t="s">
        <v>46</v>
      </c>
      <c r="B6" s="747" t="str">
        <f>'PLANILHA ORÇAMENTARIA'!H3</f>
        <v>07/2017 SINAPI
07/2017 SEDUC</v>
      </c>
      <c r="C6" s="26" t="s">
        <v>148</v>
      </c>
      <c r="D6" s="4" t="s">
        <v>168</v>
      </c>
    </row>
    <row r="7" spans="1:4" x14ac:dyDescent="0.25">
      <c r="A7" s="77"/>
      <c r="B7" s="747"/>
      <c r="C7" s="8"/>
      <c r="D7" s="9"/>
    </row>
    <row r="8" spans="1:4" ht="13.5" thickBot="1" x14ac:dyDescent="0.3">
      <c r="A8" s="11"/>
      <c r="B8" s="132"/>
      <c r="C8" s="12"/>
      <c r="D8" s="13"/>
    </row>
    <row r="9" spans="1:4" ht="13.5" thickTop="1" x14ac:dyDescent="0.25">
      <c r="A9" s="744" t="s">
        <v>49</v>
      </c>
      <c r="B9" s="744"/>
      <c r="C9" s="744"/>
      <c r="D9" s="744"/>
    </row>
    <row r="10" spans="1:4" s="3" customFormat="1" x14ac:dyDescent="0.25">
      <c r="A10" s="24" t="s">
        <v>0</v>
      </c>
      <c r="B10" s="24" t="s">
        <v>1</v>
      </c>
      <c r="C10" s="2" t="s">
        <v>3</v>
      </c>
      <c r="D10" s="24" t="s">
        <v>37</v>
      </c>
    </row>
    <row r="11" spans="1:4" s="3" customFormat="1" x14ac:dyDescent="0.25">
      <c r="A11" s="746" t="s">
        <v>297</v>
      </c>
      <c r="B11" s="746"/>
      <c r="C11" s="746"/>
      <c r="D11" s="746"/>
    </row>
    <row r="12" spans="1:4" s="3" customFormat="1" outlineLevel="1" x14ac:dyDescent="0.25">
      <c r="A12" s="3" t="s">
        <v>14</v>
      </c>
      <c r="B12" s="78" t="str">
        <f>'PLANILHA ORÇAMENTARIA'!C9</f>
        <v>ADMINISTRAÇÃO DE OBRA</v>
      </c>
      <c r="C12" s="16">
        <f t="shared" ref="C12:C20" si="0">D12/$D$21</f>
        <v>4.1133908717467728E-2</v>
      </c>
      <c r="D12" s="36">
        <f>'PLANILHA ORÇAMENTARIA'!H11</f>
        <v>351352.46</v>
      </c>
    </row>
    <row r="13" spans="1:4" s="3" customFormat="1" outlineLevel="1" x14ac:dyDescent="0.25">
      <c r="A13" s="3" t="s">
        <v>16</v>
      </c>
      <c r="B13" s="78" t="str">
        <f>'PLANILHA ORÇAMENTARIA'!C12</f>
        <v>SERVIÇOS  TÉCNICOS</v>
      </c>
      <c r="C13" s="16">
        <f t="shared" si="0"/>
        <v>6.8907917132857448E-4</v>
      </c>
      <c r="D13" s="36">
        <f>'PLANILHA ORÇAMENTARIA'!H14</f>
        <v>5885.89</v>
      </c>
    </row>
    <row r="14" spans="1:4" s="3" customFormat="1" outlineLevel="1" x14ac:dyDescent="0.25">
      <c r="A14" s="3" t="str">
        <f>'PLANILHA ORÇAMENTARIA'!A15</f>
        <v>3.0</v>
      </c>
      <c r="B14" s="78" t="str">
        <f>'PLANILHA ORÇAMENTARIA'!C15</f>
        <v>SERVIÇOS PRELIMINARES</v>
      </c>
      <c r="C14" s="16">
        <f t="shared" si="0"/>
        <v>1.6059567673622849E-2</v>
      </c>
      <c r="D14" s="36">
        <f>'PLANILHA ORÇAMENTARIA'!H28</f>
        <v>137175.59999999998</v>
      </c>
    </row>
    <row r="15" spans="1:4" outlineLevel="1" x14ac:dyDescent="0.25">
      <c r="A15" s="3" t="s">
        <v>24</v>
      </c>
      <c r="B15" s="4" t="str">
        <f>'PLANILHA ORÇAMENTARIA'!C31</f>
        <v>ARQUITETÔNICO</v>
      </c>
      <c r="C15" s="16">
        <f t="shared" si="0"/>
        <v>0.4406993454487188</v>
      </c>
      <c r="D15" s="36">
        <f>'PLANILHA ORÇAMENTARIA'!H291</f>
        <v>3764310.37</v>
      </c>
    </row>
    <row r="16" spans="1:4" outlineLevel="1" x14ac:dyDescent="0.25">
      <c r="A16" s="3" t="s">
        <v>28</v>
      </c>
      <c r="B16" s="4" t="str">
        <f>'PLANILHA ORÇAMENTARIA'!C293</f>
        <v>ESTRUTURAL BLOCOS ESCOLA</v>
      </c>
      <c r="C16" s="16">
        <f t="shared" si="0"/>
        <v>0.39072156076487907</v>
      </c>
      <c r="D16" s="36">
        <f>'PLANILHA ORÇAMENTARIA'!H579</f>
        <v>3337416.4</v>
      </c>
    </row>
    <row r="17" spans="1:4" outlineLevel="1" x14ac:dyDescent="0.25">
      <c r="A17" s="3" t="s">
        <v>31</v>
      </c>
      <c r="B17" s="4" t="str">
        <f>'PLANILHA ORÇAMENTARIA'!C581</f>
        <v>INSTALAÇÕES HIDROSSANITÁRIAS</v>
      </c>
      <c r="C17" s="16">
        <f t="shared" si="0"/>
        <v>3.729824980500427E-2</v>
      </c>
      <c r="D17" s="36">
        <f>'PLANILHA ORÇAMENTARIA'!H787</f>
        <v>318589.51</v>
      </c>
    </row>
    <row r="18" spans="1:4" outlineLevel="1" x14ac:dyDescent="0.25">
      <c r="A18" s="3" t="s">
        <v>88</v>
      </c>
      <c r="B18" s="4" t="str">
        <f>'PLANILHA ORÇAMENTARIA'!C789</f>
        <v>INSTALAÇÃO ELÉTRICA</v>
      </c>
      <c r="C18" s="16">
        <f t="shared" si="0"/>
        <v>5.0202395209036819E-2</v>
      </c>
      <c r="D18" s="36">
        <f>'PLANILHA ORÇAMENTARIA'!H856</f>
        <v>428812.51999999996</v>
      </c>
    </row>
    <row r="19" spans="1:4" outlineLevel="1" x14ac:dyDescent="0.25">
      <c r="A19" s="3" t="s">
        <v>96</v>
      </c>
      <c r="B19" s="4" t="str">
        <f>'PLANILHA ORÇAMENTARIA'!C858</f>
        <v>SISTEMAS DE PROTEÇÃO CONTRA DESCARGAS ATMOSFÉRICAS</v>
      </c>
      <c r="C19" s="16">
        <f t="shared" si="0"/>
        <v>1.133994625681429E-2</v>
      </c>
      <c r="D19" s="36">
        <f>'PLANILHA ORÇAMENTARIA'!H890</f>
        <v>96862.130000000019</v>
      </c>
    </row>
    <row r="20" spans="1:4" ht="26.25" outlineLevel="1" thickBot="1" x14ac:dyDescent="0.3">
      <c r="A20" s="3" t="s">
        <v>97</v>
      </c>
      <c r="B20" s="4" t="str">
        <f>'PLANILHA ORÇAMENTARIA'!C892</f>
        <v>INSTALAÇÕES DE SEGURANÇA E PREVENÇÃO A COMBATE A INCÊNDIO E PÂNICO</v>
      </c>
      <c r="C20" s="16">
        <f t="shared" si="0"/>
        <v>1.1855946953127403E-2</v>
      </c>
      <c r="D20" s="36">
        <f>'PLANILHA ORÇAMENTARIA'!H971</f>
        <v>101269.63999999998</v>
      </c>
    </row>
    <row r="21" spans="1:4" ht="13.5" thickTop="1" x14ac:dyDescent="0.25">
      <c r="A21" s="32"/>
      <c r="B21" s="33" t="s">
        <v>43</v>
      </c>
      <c r="C21" s="34">
        <f>SUM(C12:C20)</f>
        <v>0.99999999999999989</v>
      </c>
      <c r="D21" s="37">
        <f>SUM(D12:D20)</f>
        <v>8541674.5200000014</v>
      </c>
    </row>
    <row r="22" spans="1:4" x14ac:dyDescent="0.25">
      <c r="A22" s="745" t="str">
        <f>'PLANILHA ORÇAMENTARIA'!A973:H973</f>
        <v>oito milhões, quinhentos e quarenta e um mil, seiscentos e setenta e quatro reais e cinquenta e dois centavos</v>
      </c>
      <c r="B22" s="745"/>
      <c r="C22" s="745"/>
      <c r="D22" s="745"/>
    </row>
    <row r="23" spans="1:4" x14ac:dyDescent="0.25">
      <c r="A23" s="117"/>
      <c r="B23" s="117"/>
      <c r="C23" s="117"/>
      <c r="D23" s="117"/>
    </row>
    <row r="24" spans="1:4" x14ac:dyDescent="0.25">
      <c r="A24" s="117"/>
      <c r="B24" s="117"/>
      <c r="C24" s="117"/>
      <c r="D24" s="117"/>
    </row>
    <row r="25" spans="1:4" x14ac:dyDescent="0.25">
      <c r="A25" s="117"/>
      <c r="B25" s="117"/>
      <c r="C25" s="117"/>
      <c r="D25" s="117"/>
    </row>
    <row r="26" spans="1:4" x14ac:dyDescent="0.25">
      <c r="A26" s="117"/>
      <c r="B26" s="117"/>
      <c r="C26" s="117"/>
      <c r="D26" s="117"/>
    </row>
    <row r="27" spans="1:4" x14ac:dyDescent="0.25">
      <c r="A27" s="117"/>
      <c r="B27" s="117"/>
      <c r="C27" s="117"/>
      <c r="D27" s="117"/>
    </row>
    <row r="28" spans="1:4" x14ac:dyDescent="0.25">
      <c r="A28" s="117"/>
      <c r="B28" s="117"/>
      <c r="C28" s="117"/>
      <c r="D28" s="117"/>
    </row>
    <row r="29" spans="1:4" x14ac:dyDescent="0.25">
      <c r="A29" s="117"/>
      <c r="B29" s="117"/>
      <c r="C29" s="117"/>
      <c r="D29" s="117"/>
    </row>
    <row r="30" spans="1:4" x14ac:dyDescent="0.25">
      <c r="A30" s="117"/>
      <c r="B30" s="117"/>
      <c r="C30" s="117"/>
      <c r="D30" s="117"/>
    </row>
    <row r="31" spans="1:4" x14ac:dyDescent="0.25">
      <c r="A31" s="117"/>
      <c r="B31" s="117"/>
      <c r="C31" s="117"/>
      <c r="D31" s="117"/>
    </row>
    <row r="32" spans="1:4" x14ac:dyDescent="0.25">
      <c r="A32" s="117"/>
      <c r="B32" s="117"/>
      <c r="C32" s="117"/>
      <c r="D32" s="117"/>
    </row>
    <row r="33" spans="1:4" x14ac:dyDescent="0.25">
      <c r="A33" s="117"/>
      <c r="B33" s="117"/>
      <c r="C33" s="117"/>
      <c r="D33" s="117"/>
    </row>
    <row r="34" spans="1:4" x14ac:dyDescent="0.25">
      <c r="A34" s="117"/>
      <c r="B34" s="117"/>
      <c r="C34" s="117"/>
      <c r="D34" s="117"/>
    </row>
    <row r="35" spans="1:4" x14ac:dyDescent="0.25">
      <c r="A35" s="117"/>
      <c r="B35" s="117"/>
      <c r="C35" s="117"/>
      <c r="D35" s="117"/>
    </row>
    <row r="38" spans="1:4" x14ac:dyDescent="0.25">
      <c r="A38" s="4"/>
      <c r="D38" s="4"/>
    </row>
    <row r="39" spans="1:4" x14ac:dyDescent="0.25">
      <c r="A39" s="4"/>
      <c r="D39" s="4"/>
    </row>
    <row r="48" spans="1:4" x14ac:dyDescent="0.25">
      <c r="A48" s="4"/>
      <c r="D48" s="4"/>
    </row>
    <row r="49" spans="1:4" x14ac:dyDescent="0.25">
      <c r="A49" s="4"/>
      <c r="D49" s="4"/>
    </row>
    <row r="64" spans="1:4" x14ac:dyDescent="0.25">
      <c r="A64" s="4"/>
      <c r="D64" s="4"/>
    </row>
    <row r="65" spans="1:4" x14ac:dyDescent="0.25">
      <c r="A65" s="4"/>
      <c r="D65" s="4"/>
    </row>
    <row r="84" spans="3:4" x14ac:dyDescent="0.25">
      <c r="C84" s="85"/>
      <c r="D84" s="85"/>
    </row>
    <row r="85" spans="3:4" x14ac:dyDescent="0.25">
      <c r="C85" s="85"/>
      <c r="D85" s="85"/>
    </row>
    <row r="86" spans="3:4" x14ac:dyDescent="0.25">
      <c r="C86" s="85"/>
      <c r="D86" s="85"/>
    </row>
    <row r="87" spans="3:4" x14ac:dyDescent="0.25">
      <c r="C87" s="85"/>
      <c r="D87" s="86"/>
    </row>
    <row r="88" spans="3:4" x14ac:dyDescent="0.25">
      <c r="C88" s="85"/>
      <c r="D88" s="86"/>
    </row>
    <row r="89" spans="3:4" x14ac:dyDescent="0.25">
      <c r="C89" s="85"/>
      <c r="D89" s="86"/>
    </row>
    <row r="90" spans="3:4" x14ac:dyDescent="0.25">
      <c r="C90" s="85"/>
      <c r="D90" s="86"/>
    </row>
    <row r="91" spans="3:4" x14ac:dyDescent="0.25">
      <c r="C91" s="85"/>
      <c r="D91" s="86"/>
    </row>
    <row r="92" spans="3:4" x14ac:dyDescent="0.25">
      <c r="C92" s="85"/>
      <c r="D92" s="86"/>
    </row>
    <row r="93" spans="3:4" x14ac:dyDescent="0.25">
      <c r="C93" s="85"/>
      <c r="D93" s="86"/>
    </row>
    <row r="94" spans="3:4" x14ac:dyDescent="0.25">
      <c r="C94" s="85"/>
      <c r="D94" s="86"/>
    </row>
  </sheetData>
  <mergeCells count="5">
    <mergeCell ref="B1:D1"/>
    <mergeCell ref="A9:D9"/>
    <mergeCell ref="A22:D22"/>
    <mergeCell ref="A11:D11"/>
    <mergeCell ref="B6:B7"/>
  </mergeCells>
  <conditionalFormatting sqref="A12:D22">
    <cfRule type="expression" dxfId="104" priority="1">
      <formula>EVEN(ROW())=ROW()</formula>
    </cfRule>
  </conditionalFormatting>
  <pageMargins left="0.511811024" right="0.511811024" top="0.890625" bottom="0.92031249999999998" header="0.31496062000000002" footer="0.31496062000000002"/>
  <pageSetup paperSize="9" scale="94" orientation="portrait" r:id="rId1"/>
  <headerFooter>
    <oddHeader>&amp;L&amp;G&amp;C&amp;"-,Negrito"&amp;9&amp;K00-045GOVERNO DO ESTADO DE MATO GROSSO&amp;"-,Regular"
SECRETARIA DE ESTADO DE EDUCAÇÃO
SECRETARIA ADJUNTA DE ESTRUTURA ESCOLAR&amp;R&amp;G</oddHeader>
    <oddFooter xml:space="preserve">&amp;L&amp;"-,Negrito"&amp;7&amp;K00-049Secretaria de Estado de Educação, Esporte e Lazer de Mato Grosso&amp;"-,Regular"
Rua Engenheiro Edgar Prado Arze, 215 - Centro Político Administrativo
CEP: 78049-909 | Cuiabá-MT
Fone: (65) 3613-6300&amp;C&amp;9&amp;K00-049&amp;P / &amp;N&amp;R&amp;7&amp;K00-049&amp;A
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8" tint="0.59999389629810485"/>
  </sheetPr>
  <dimension ref="A1:I976"/>
  <sheetViews>
    <sheetView showGridLines="0" view="pageBreakPreview" topLeftCell="A950" zoomScale="60" zoomScaleNormal="100" zoomScalePageLayoutView="70" workbookViewId="0">
      <selection activeCell="E786" sqref="E786"/>
    </sheetView>
  </sheetViews>
  <sheetFormatPr defaultRowHeight="15.75" outlineLevelRow="2" x14ac:dyDescent="0.25"/>
  <cols>
    <col min="1" max="1" width="10.7109375" style="46" customWidth="1"/>
    <col min="2" max="2" width="19.7109375" style="46" customWidth="1"/>
    <col min="3" max="3" width="58.7109375" style="40" customWidth="1"/>
    <col min="4" max="4" width="11" style="46" customWidth="1"/>
    <col min="5" max="5" width="12.5703125" style="59" bestFit="1" customWidth="1"/>
    <col min="6" max="6" width="15.140625" style="59" bestFit="1" customWidth="1"/>
    <col min="7" max="7" width="14.7109375" style="60" customWidth="1"/>
    <col min="8" max="8" width="21.5703125" style="60" customWidth="1"/>
    <col min="9" max="9" width="15.42578125" style="40" customWidth="1"/>
    <col min="10" max="16384" width="9.140625" style="40"/>
  </cols>
  <sheetData>
    <row r="1" spans="1:8" ht="80.25" customHeight="1" x14ac:dyDescent="0.25">
      <c r="A1" s="73" t="s">
        <v>239</v>
      </c>
      <c r="B1" s="748" t="s">
        <v>3792</v>
      </c>
      <c r="C1" s="748"/>
      <c r="D1" s="748"/>
      <c r="E1" s="748"/>
      <c r="F1" s="748"/>
      <c r="G1" s="748"/>
      <c r="H1" s="748"/>
    </row>
    <row r="2" spans="1:8" x14ac:dyDescent="0.25">
      <c r="A2" s="77" t="s">
        <v>453</v>
      </c>
      <c r="B2" s="35" t="s">
        <v>3795</v>
      </c>
      <c r="C2" s="187"/>
      <c r="D2" s="187"/>
      <c r="E2" s="187"/>
      <c r="F2" s="187"/>
      <c r="G2" s="187"/>
      <c r="H2" s="187"/>
    </row>
    <row r="3" spans="1:8" ht="30" x14ac:dyDescent="0.25">
      <c r="A3" s="74" t="s">
        <v>240</v>
      </c>
      <c r="B3" s="75" t="s">
        <v>3793</v>
      </c>
      <c r="C3" s="76"/>
      <c r="D3" s="69" t="s">
        <v>33</v>
      </c>
      <c r="E3" s="68">
        <v>0.26729999999999998</v>
      </c>
      <c r="F3" s="70"/>
      <c r="G3" s="71" t="s">
        <v>46</v>
      </c>
      <c r="H3" s="94" t="s">
        <v>732</v>
      </c>
    </row>
    <row r="4" spans="1:8" x14ac:dyDescent="0.25">
      <c r="A4" s="74" t="s">
        <v>241</v>
      </c>
      <c r="B4" s="75" t="s">
        <v>3794</v>
      </c>
      <c r="C4" s="76"/>
      <c r="D4" s="69"/>
      <c r="E4" s="93"/>
      <c r="F4" s="70"/>
      <c r="G4" s="71"/>
      <c r="H4" s="72"/>
    </row>
    <row r="5" spans="1:8" ht="16.5" thickBot="1" x14ac:dyDescent="0.3">
      <c r="A5" s="41"/>
      <c r="B5" s="42"/>
      <c r="C5" s="43"/>
      <c r="D5" s="44"/>
      <c r="E5" s="45"/>
      <c r="F5" s="45"/>
      <c r="G5" s="45"/>
      <c r="H5" s="45"/>
    </row>
    <row r="6" spans="1:8" ht="16.5" thickTop="1" x14ac:dyDescent="0.25">
      <c r="A6" s="749" t="s">
        <v>36</v>
      </c>
      <c r="B6" s="749"/>
      <c r="C6" s="749"/>
      <c r="D6" s="749"/>
      <c r="E6" s="749"/>
      <c r="F6" s="749"/>
      <c r="G6" s="749"/>
      <c r="H6" s="749"/>
    </row>
    <row r="7" spans="1:8" s="46" customFormat="1" x14ac:dyDescent="0.25">
      <c r="A7" s="66" t="s">
        <v>0</v>
      </c>
      <c r="B7" s="66" t="s">
        <v>4</v>
      </c>
      <c r="C7" s="66" t="s">
        <v>1</v>
      </c>
      <c r="D7" s="66" t="s">
        <v>5</v>
      </c>
      <c r="E7" s="67" t="s">
        <v>6</v>
      </c>
      <c r="F7" s="67" t="s">
        <v>50</v>
      </c>
      <c r="G7" s="67" t="s">
        <v>7</v>
      </c>
      <c r="H7" s="67" t="s">
        <v>8</v>
      </c>
    </row>
    <row r="8" spans="1:8" s="46" customFormat="1" x14ac:dyDescent="0.25">
      <c r="A8" s="751" t="s">
        <v>297</v>
      </c>
      <c r="B8" s="751"/>
      <c r="C8" s="751"/>
      <c r="D8" s="751"/>
      <c r="E8" s="751"/>
      <c r="F8" s="751"/>
      <c r="G8" s="751"/>
      <c r="H8" s="751"/>
    </row>
    <row r="9" spans="1:8" s="46" customFormat="1" outlineLevel="1" x14ac:dyDescent="0.25">
      <c r="A9" s="119" t="s">
        <v>14</v>
      </c>
      <c r="B9" s="119"/>
      <c r="C9" s="120" t="s">
        <v>59</v>
      </c>
      <c r="D9" s="119"/>
      <c r="E9" s="121"/>
      <c r="F9" s="121"/>
      <c r="G9" s="122"/>
      <c r="H9" s="122"/>
    </row>
    <row r="10" spans="1:8" s="46" customFormat="1" outlineLevel="2" x14ac:dyDescent="0.25">
      <c r="A10" s="47" t="s">
        <v>15</v>
      </c>
      <c r="B10" s="53" t="s">
        <v>2692</v>
      </c>
      <c r="C10" s="54" t="s">
        <v>2693</v>
      </c>
      <c r="D10" s="53" t="s">
        <v>5</v>
      </c>
      <c r="E10" s="55">
        <v>1</v>
      </c>
      <c r="F10" s="56">
        <v>277244.90000000002</v>
      </c>
      <c r="G10" s="48">
        <f>TRUNC(F10*(1+$E$3),2)</f>
        <v>351352.46</v>
      </c>
      <c r="H10" s="48">
        <f>TRUNC((G10*E10),2)</f>
        <v>351352.46</v>
      </c>
    </row>
    <row r="11" spans="1:8" s="46" customFormat="1" outlineLevel="1" x14ac:dyDescent="0.25">
      <c r="A11" s="49"/>
      <c r="B11" s="49"/>
      <c r="C11" s="50" t="s">
        <v>13</v>
      </c>
      <c r="D11" s="49"/>
      <c r="E11" s="51"/>
      <c r="F11" s="51"/>
      <c r="G11" s="52"/>
      <c r="H11" s="52">
        <f>SUM(H10)</f>
        <v>351352.46</v>
      </c>
    </row>
    <row r="12" spans="1:8" s="46" customFormat="1" outlineLevel="1" x14ac:dyDescent="0.25">
      <c r="A12" s="119" t="s">
        <v>16</v>
      </c>
      <c r="B12" s="119"/>
      <c r="C12" s="120" t="s">
        <v>2694</v>
      </c>
      <c r="D12" s="119"/>
      <c r="E12" s="121"/>
      <c r="F12" s="121"/>
      <c r="G12" s="122"/>
      <c r="H12" s="122"/>
    </row>
    <row r="13" spans="1:8" s="46" customFormat="1" outlineLevel="2" x14ac:dyDescent="0.25">
      <c r="A13" s="47" t="s">
        <v>17</v>
      </c>
      <c r="B13" s="135" t="s">
        <v>481</v>
      </c>
      <c r="C13" s="143" t="s">
        <v>482</v>
      </c>
      <c r="D13" s="135" t="s">
        <v>77</v>
      </c>
      <c r="E13" s="144">
        <v>4392.46</v>
      </c>
      <c r="F13" s="145">
        <v>1.06</v>
      </c>
      <c r="G13" s="48">
        <f>TRUNC(F13*(1+$E$3),2)</f>
        <v>1.34</v>
      </c>
      <c r="H13" s="48">
        <f>TRUNC((G13*E13),2)</f>
        <v>5885.89</v>
      </c>
    </row>
    <row r="14" spans="1:8" s="46" customFormat="1" outlineLevel="1" x14ac:dyDescent="0.25">
      <c r="A14" s="62"/>
      <c r="B14" s="62"/>
      <c r="C14" s="63" t="s">
        <v>13</v>
      </c>
      <c r="D14" s="62"/>
      <c r="E14" s="64"/>
      <c r="F14" s="64"/>
      <c r="G14" s="64"/>
      <c r="H14" s="65">
        <f>SUM(H13)</f>
        <v>5885.89</v>
      </c>
    </row>
    <row r="15" spans="1:8" s="46" customFormat="1" ht="15.75" customHeight="1" x14ac:dyDescent="0.25">
      <c r="A15" s="142" t="s">
        <v>19</v>
      </c>
      <c r="B15" s="119"/>
      <c r="C15" s="120" t="s">
        <v>53</v>
      </c>
      <c r="D15" s="119"/>
      <c r="E15" s="121"/>
      <c r="F15" s="121"/>
      <c r="G15" s="122"/>
      <c r="H15" s="122"/>
    </row>
    <row r="16" spans="1:8" s="46" customFormat="1" x14ac:dyDescent="0.25">
      <c r="A16" s="47" t="s">
        <v>20</v>
      </c>
      <c r="B16" s="135" t="s">
        <v>402</v>
      </c>
      <c r="C16" s="143" t="s">
        <v>401</v>
      </c>
      <c r="D16" s="135" t="s">
        <v>77</v>
      </c>
      <c r="E16" s="144">
        <v>13.22</v>
      </c>
      <c r="F16" s="145">
        <v>317.95999999999998</v>
      </c>
      <c r="G16" s="48">
        <f t="shared" ref="G16:G26" si="0">TRUNC(F16*(1+$E$3),2)</f>
        <v>402.95</v>
      </c>
      <c r="H16" s="48">
        <f t="shared" ref="H16" si="1">TRUNC((G16*E16),2)</f>
        <v>5326.99</v>
      </c>
    </row>
    <row r="17" spans="1:8" s="46" customFormat="1" ht="31.5" x14ac:dyDescent="0.25">
      <c r="A17" s="47" t="s">
        <v>21</v>
      </c>
      <c r="B17" s="234" t="s">
        <v>2695</v>
      </c>
      <c r="C17" s="143" t="s">
        <v>2696</v>
      </c>
      <c r="D17" s="135" t="s">
        <v>77</v>
      </c>
      <c r="E17" s="144">
        <v>9569</v>
      </c>
      <c r="F17" s="145">
        <v>0.49</v>
      </c>
      <c r="G17" s="48">
        <f t="shared" si="0"/>
        <v>0.62</v>
      </c>
      <c r="H17" s="48">
        <f t="shared" ref="H17:H26" si="2">TRUNC((G17*E17),2)</f>
        <v>5932.78</v>
      </c>
    </row>
    <row r="18" spans="1:8" s="46" customFormat="1" ht="47.25" x14ac:dyDescent="0.25">
      <c r="A18" s="47" t="s">
        <v>22</v>
      </c>
      <c r="B18" s="234" t="s">
        <v>404</v>
      </c>
      <c r="C18" s="143" t="s">
        <v>403</v>
      </c>
      <c r="D18" s="135" t="s">
        <v>77</v>
      </c>
      <c r="E18" s="144">
        <v>7165.05</v>
      </c>
      <c r="F18" s="145">
        <v>4.25</v>
      </c>
      <c r="G18" s="48">
        <f t="shared" si="0"/>
        <v>5.38</v>
      </c>
      <c r="H18" s="48">
        <f t="shared" si="2"/>
        <v>38547.96</v>
      </c>
    </row>
    <row r="19" spans="1:8" s="46" customFormat="1" ht="78.75" x14ac:dyDescent="0.25">
      <c r="A19" s="47" t="s">
        <v>23</v>
      </c>
      <c r="B19" s="234" t="s">
        <v>2697</v>
      </c>
      <c r="C19" s="143" t="s">
        <v>2698</v>
      </c>
      <c r="D19" s="135" t="s">
        <v>1261</v>
      </c>
      <c r="E19" s="144">
        <v>10</v>
      </c>
      <c r="F19" s="145">
        <v>402.34</v>
      </c>
      <c r="G19" s="48">
        <f t="shared" si="0"/>
        <v>509.88</v>
      </c>
      <c r="H19" s="48">
        <f t="shared" si="2"/>
        <v>5098.8</v>
      </c>
    </row>
    <row r="20" spans="1:8" s="46" customFormat="1" ht="47.25" x14ac:dyDescent="0.25">
      <c r="A20" s="47" t="s">
        <v>434</v>
      </c>
      <c r="B20" s="234">
        <v>93208</v>
      </c>
      <c r="C20" s="143" t="s">
        <v>2699</v>
      </c>
      <c r="D20" s="135" t="s">
        <v>77</v>
      </c>
      <c r="E20" s="144">
        <v>21.8</v>
      </c>
      <c r="F20" s="145">
        <v>387.97</v>
      </c>
      <c r="G20" s="48">
        <f t="shared" si="0"/>
        <v>491.67</v>
      </c>
      <c r="H20" s="48">
        <f t="shared" si="2"/>
        <v>10718.4</v>
      </c>
    </row>
    <row r="21" spans="1:8" s="46" customFormat="1" ht="47.25" x14ac:dyDescent="0.25">
      <c r="A21" s="47" t="s">
        <v>435</v>
      </c>
      <c r="B21" s="234">
        <v>93210</v>
      </c>
      <c r="C21" s="143" t="s">
        <v>405</v>
      </c>
      <c r="D21" s="135" t="s">
        <v>77</v>
      </c>
      <c r="E21" s="144">
        <v>14.5</v>
      </c>
      <c r="F21" s="145">
        <v>313.81</v>
      </c>
      <c r="G21" s="48">
        <f t="shared" si="0"/>
        <v>397.69</v>
      </c>
      <c r="H21" s="48">
        <f t="shared" si="2"/>
        <v>5766.5</v>
      </c>
    </row>
    <row r="22" spans="1:8" s="46" customFormat="1" ht="47.25" x14ac:dyDescent="0.25">
      <c r="A22" s="47" t="s">
        <v>436</v>
      </c>
      <c r="B22" s="234" t="s">
        <v>478</v>
      </c>
      <c r="C22" s="143" t="s">
        <v>479</v>
      </c>
      <c r="D22" s="135" t="s">
        <v>448</v>
      </c>
      <c r="E22" s="144">
        <v>10</v>
      </c>
      <c r="F22" s="145">
        <v>584.73</v>
      </c>
      <c r="G22" s="48">
        <f t="shared" si="0"/>
        <v>741.02</v>
      </c>
      <c r="H22" s="48">
        <f t="shared" si="2"/>
        <v>7410.2</v>
      </c>
    </row>
    <row r="23" spans="1:8" s="46" customFormat="1" ht="31.5" x14ac:dyDescent="0.25">
      <c r="A23" s="47" t="s">
        <v>437</v>
      </c>
      <c r="B23" s="135" t="s">
        <v>2700</v>
      </c>
      <c r="C23" s="143" t="s">
        <v>2701</v>
      </c>
      <c r="D23" s="135" t="s">
        <v>77</v>
      </c>
      <c r="E23" s="144">
        <v>947.87</v>
      </c>
      <c r="F23" s="145">
        <v>45.76</v>
      </c>
      <c r="G23" s="48">
        <f t="shared" si="0"/>
        <v>57.99</v>
      </c>
      <c r="H23" s="48">
        <f t="shared" si="2"/>
        <v>54966.98</v>
      </c>
    </row>
    <row r="24" spans="1:8" s="46" customFormat="1" ht="31.5" x14ac:dyDescent="0.25">
      <c r="A24" s="47" t="s">
        <v>438</v>
      </c>
      <c r="B24" s="234">
        <v>72898</v>
      </c>
      <c r="C24" s="143" t="s">
        <v>483</v>
      </c>
      <c r="D24" s="135" t="s">
        <v>153</v>
      </c>
      <c r="E24" s="144">
        <v>24</v>
      </c>
      <c r="F24" s="145">
        <v>3.15</v>
      </c>
      <c r="G24" s="48">
        <f t="shared" si="0"/>
        <v>3.99</v>
      </c>
      <c r="H24" s="48">
        <f t="shared" si="2"/>
        <v>95.76</v>
      </c>
    </row>
    <row r="25" spans="1:8" s="46" customFormat="1" ht="47.25" x14ac:dyDescent="0.25">
      <c r="A25" s="47" t="s">
        <v>439</v>
      </c>
      <c r="B25" s="234">
        <v>95302</v>
      </c>
      <c r="C25" s="143" t="s">
        <v>247</v>
      </c>
      <c r="D25" s="135" t="s">
        <v>484</v>
      </c>
      <c r="E25" s="144">
        <v>240</v>
      </c>
      <c r="F25" s="145">
        <v>1.28</v>
      </c>
      <c r="G25" s="48">
        <f t="shared" si="0"/>
        <v>1.62</v>
      </c>
      <c r="H25" s="48">
        <f t="shared" si="2"/>
        <v>388.8</v>
      </c>
    </row>
    <row r="26" spans="1:8" s="46" customFormat="1" ht="47.25" x14ac:dyDescent="0.25">
      <c r="A26" s="47" t="s">
        <v>440</v>
      </c>
      <c r="B26" s="234">
        <v>9540</v>
      </c>
      <c r="C26" s="143" t="s">
        <v>2702</v>
      </c>
      <c r="D26" s="135" t="s">
        <v>52</v>
      </c>
      <c r="E26" s="144">
        <v>1</v>
      </c>
      <c r="F26" s="145">
        <v>884.18</v>
      </c>
      <c r="G26" s="48">
        <f t="shared" si="0"/>
        <v>1120.52</v>
      </c>
      <c r="H26" s="48">
        <f t="shared" si="2"/>
        <v>1120.52</v>
      </c>
    </row>
    <row r="27" spans="1:8" s="46" customFormat="1" x14ac:dyDescent="0.25">
      <c r="A27" s="47" t="s">
        <v>441</v>
      </c>
      <c r="B27" s="234" t="s">
        <v>4787</v>
      </c>
      <c r="C27" s="143" t="s">
        <v>4788</v>
      </c>
      <c r="D27" s="135" t="s">
        <v>52</v>
      </c>
      <c r="E27" s="144">
        <v>1</v>
      </c>
      <c r="F27" s="145">
        <v>1421.85</v>
      </c>
      <c r="G27" s="48">
        <f t="shared" ref="G27" si="3">TRUNC(F27*(1+$E$3),2)</f>
        <v>1801.91</v>
      </c>
      <c r="H27" s="48">
        <f t="shared" ref="H27" si="4">TRUNC((G27*E27),2)</f>
        <v>1801.91</v>
      </c>
    </row>
    <row r="28" spans="1:8" s="46" customFormat="1" x14ac:dyDescent="0.25">
      <c r="A28" s="49"/>
      <c r="B28" s="49"/>
      <c r="C28" s="63" t="s">
        <v>13</v>
      </c>
      <c r="D28" s="49"/>
      <c r="E28" s="52"/>
      <c r="F28" s="52"/>
      <c r="G28" s="51"/>
      <c r="H28" s="65">
        <f>SUM(H16:H27)</f>
        <v>137175.59999999998</v>
      </c>
    </row>
    <row r="29" spans="1:8" s="46" customFormat="1" x14ac:dyDescent="0.25">
      <c r="A29" s="49"/>
      <c r="B29" s="49"/>
      <c r="C29" s="50" t="s">
        <v>296</v>
      </c>
      <c r="D29" s="49"/>
      <c r="E29" s="52"/>
      <c r="F29" s="52"/>
      <c r="G29" s="51"/>
      <c r="H29" s="52">
        <f>SUM(H28+H14+H11)</f>
        <v>494413.95</v>
      </c>
    </row>
    <row r="30" spans="1:8" s="46" customFormat="1" x14ac:dyDescent="0.25">
      <c r="A30" s="751" t="s">
        <v>2703</v>
      </c>
      <c r="B30" s="751"/>
      <c r="C30" s="751"/>
      <c r="D30" s="751"/>
      <c r="E30" s="751"/>
      <c r="F30" s="751"/>
      <c r="G30" s="751"/>
      <c r="H30" s="751"/>
    </row>
    <row r="31" spans="1:8" outlineLevel="1" x14ac:dyDescent="0.25">
      <c r="A31" s="123" t="s">
        <v>24</v>
      </c>
      <c r="B31" s="123"/>
      <c r="C31" s="124" t="s">
        <v>2703</v>
      </c>
      <c r="D31" s="123"/>
      <c r="E31" s="125"/>
      <c r="F31" s="125"/>
      <c r="G31" s="56"/>
      <c r="H31" s="126"/>
    </row>
    <row r="32" spans="1:8" outlineLevel="1" x14ac:dyDescent="0.25">
      <c r="A32" s="123" t="s">
        <v>25</v>
      </c>
      <c r="B32" s="123"/>
      <c r="C32" s="124" t="s">
        <v>501</v>
      </c>
      <c r="D32" s="123"/>
      <c r="E32" s="125"/>
      <c r="F32" s="125"/>
      <c r="G32" s="337"/>
      <c r="H32" s="126"/>
    </row>
    <row r="33" spans="1:8" ht="47.25" outlineLevel="1" x14ac:dyDescent="0.25">
      <c r="A33" s="53" t="s">
        <v>1097</v>
      </c>
      <c r="B33" s="234">
        <v>94216</v>
      </c>
      <c r="C33" s="143" t="s">
        <v>387</v>
      </c>
      <c r="D33" s="135" t="s">
        <v>77</v>
      </c>
      <c r="E33" s="144">
        <v>34.5</v>
      </c>
      <c r="F33" s="145">
        <v>103.68</v>
      </c>
      <c r="G33" s="48">
        <f t="shared" ref="G33" si="5">TRUNC(F33*(1+$E$3),2)</f>
        <v>131.38999999999999</v>
      </c>
      <c r="H33" s="48">
        <f t="shared" ref="H33" si="6">TRUNC((G33*E33),2)</f>
        <v>4532.95</v>
      </c>
    </row>
    <row r="34" spans="1:8" ht="31.5" outlineLevel="1" x14ac:dyDescent="0.25">
      <c r="A34" s="53" t="s">
        <v>1098</v>
      </c>
      <c r="B34" s="135" t="s">
        <v>418</v>
      </c>
      <c r="C34" s="143" t="s">
        <v>419</v>
      </c>
      <c r="D34" s="135" t="s">
        <v>77</v>
      </c>
      <c r="E34" s="144">
        <v>2434.4</v>
      </c>
      <c r="F34" s="145">
        <v>38.56</v>
      </c>
      <c r="G34" s="48">
        <f t="shared" ref="G34:G35" si="7">TRUNC(F34*(1+$E$3),2)</f>
        <v>48.86</v>
      </c>
      <c r="H34" s="48">
        <f t="shared" ref="H34:H35" si="8">TRUNC((G34*E34),2)</f>
        <v>118944.78</v>
      </c>
    </row>
    <row r="35" spans="1:8" ht="47.25" outlineLevel="1" x14ac:dyDescent="0.25">
      <c r="A35" s="53" t="s">
        <v>1099</v>
      </c>
      <c r="B35" s="234">
        <v>94228</v>
      </c>
      <c r="C35" s="143" t="s">
        <v>2704</v>
      </c>
      <c r="D35" s="135" t="s">
        <v>75</v>
      </c>
      <c r="E35" s="144">
        <v>11.6</v>
      </c>
      <c r="F35" s="145">
        <v>56.42</v>
      </c>
      <c r="G35" s="48">
        <f t="shared" si="7"/>
        <v>71.5</v>
      </c>
      <c r="H35" s="48">
        <f t="shared" si="8"/>
        <v>829.4</v>
      </c>
    </row>
    <row r="36" spans="1:8" ht="47.25" outlineLevel="2" x14ac:dyDescent="0.25">
      <c r="A36" s="53" t="s">
        <v>1100</v>
      </c>
      <c r="B36" s="234">
        <v>94231</v>
      </c>
      <c r="C36" s="143" t="s">
        <v>2705</v>
      </c>
      <c r="D36" s="135" t="s">
        <v>75</v>
      </c>
      <c r="E36" s="144">
        <v>41.93</v>
      </c>
      <c r="F36" s="145">
        <v>30.74</v>
      </c>
      <c r="G36" s="48">
        <f t="shared" ref="G36" si="9">TRUNC(F36*(1+$E$3),2)</f>
        <v>38.950000000000003</v>
      </c>
      <c r="H36" s="48">
        <f t="shared" ref="H36" si="10">TRUNC((G36*E36),2)</f>
        <v>1633.17</v>
      </c>
    </row>
    <row r="37" spans="1:8" outlineLevel="1" x14ac:dyDescent="0.25">
      <c r="A37" s="62"/>
      <c r="B37" s="62"/>
      <c r="C37" s="63" t="s">
        <v>13</v>
      </c>
      <c r="D37" s="62"/>
      <c r="E37" s="64"/>
      <c r="F37" s="64"/>
      <c r="G37" s="65"/>
      <c r="H37" s="65">
        <f>SUM(H33:H36)</f>
        <v>125940.29999999999</v>
      </c>
    </row>
    <row r="38" spans="1:8" outlineLevel="1" x14ac:dyDescent="0.25">
      <c r="A38" s="123" t="s">
        <v>26</v>
      </c>
      <c r="B38" s="123"/>
      <c r="C38" s="124" t="s">
        <v>2706</v>
      </c>
      <c r="D38" s="123"/>
      <c r="E38" s="125"/>
      <c r="F38" s="125"/>
      <c r="G38" s="127"/>
      <c r="H38" s="126"/>
    </row>
    <row r="39" spans="1:8" ht="47.25" outlineLevel="2" x14ac:dyDescent="0.25">
      <c r="A39" s="53" t="s">
        <v>1101</v>
      </c>
      <c r="B39" s="234">
        <v>91341</v>
      </c>
      <c r="C39" s="143" t="s">
        <v>330</v>
      </c>
      <c r="D39" s="135" t="s">
        <v>77</v>
      </c>
      <c r="E39" s="144">
        <v>10.88</v>
      </c>
      <c r="F39" s="145">
        <v>1027.1400000000001</v>
      </c>
      <c r="G39" s="48">
        <f t="shared" ref="G39:G47" si="11">TRUNC(F39*(1+$E$3),2)</f>
        <v>1301.69</v>
      </c>
      <c r="H39" s="48">
        <f t="shared" ref="H39" si="12">TRUNC((G39*E39),2)</f>
        <v>14162.38</v>
      </c>
    </row>
    <row r="40" spans="1:8" ht="63" outlineLevel="2" x14ac:dyDescent="0.25">
      <c r="A40" s="53" t="s">
        <v>1102</v>
      </c>
      <c r="B40" s="234" t="s">
        <v>336</v>
      </c>
      <c r="C40" s="143" t="s">
        <v>337</v>
      </c>
      <c r="D40" s="135" t="s">
        <v>52</v>
      </c>
      <c r="E40" s="144">
        <v>4</v>
      </c>
      <c r="F40" s="145">
        <v>1198.92</v>
      </c>
      <c r="G40" s="48">
        <f t="shared" si="11"/>
        <v>1519.39</v>
      </c>
      <c r="H40" s="48">
        <f t="shared" ref="H40:H47" si="13">TRUNC((G40*E40),2)</f>
        <v>6077.56</v>
      </c>
    </row>
    <row r="41" spans="1:8" ht="63" outlineLevel="2" x14ac:dyDescent="0.25">
      <c r="A41" s="53" t="s">
        <v>1103</v>
      </c>
      <c r="B41" s="234" t="s">
        <v>334</v>
      </c>
      <c r="C41" s="143" t="s">
        <v>335</v>
      </c>
      <c r="D41" s="135" t="s">
        <v>52</v>
      </c>
      <c r="E41" s="144">
        <v>21</v>
      </c>
      <c r="F41" s="145">
        <v>1581.31</v>
      </c>
      <c r="G41" s="48">
        <f t="shared" si="11"/>
        <v>2003.99</v>
      </c>
      <c r="H41" s="48">
        <f t="shared" si="13"/>
        <v>42083.79</v>
      </c>
    </row>
    <row r="42" spans="1:8" ht="63" outlineLevel="2" x14ac:dyDescent="0.25">
      <c r="A42" s="53" t="s">
        <v>1104</v>
      </c>
      <c r="B42" s="234" t="s">
        <v>336</v>
      </c>
      <c r="C42" s="143" t="s">
        <v>337</v>
      </c>
      <c r="D42" s="135" t="s">
        <v>52</v>
      </c>
      <c r="E42" s="144">
        <v>2</v>
      </c>
      <c r="F42" s="145">
        <v>1198.92</v>
      </c>
      <c r="G42" s="48">
        <f t="shared" si="11"/>
        <v>1519.39</v>
      </c>
      <c r="H42" s="48">
        <f t="shared" si="13"/>
        <v>3038.78</v>
      </c>
    </row>
    <row r="43" spans="1:8" ht="31.5" outlineLevel="2" x14ac:dyDescent="0.25">
      <c r="A43" s="53" t="s">
        <v>2713</v>
      </c>
      <c r="B43" s="234" t="s">
        <v>2707</v>
      </c>
      <c r="C43" s="143" t="s">
        <v>2708</v>
      </c>
      <c r="D43" s="135" t="s">
        <v>52</v>
      </c>
      <c r="E43" s="144">
        <v>1</v>
      </c>
      <c r="F43" s="145">
        <v>1746.02</v>
      </c>
      <c r="G43" s="48">
        <f t="shared" si="11"/>
        <v>2212.73</v>
      </c>
      <c r="H43" s="48">
        <f t="shared" si="13"/>
        <v>2212.73</v>
      </c>
    </row>
    <row r="44" spans="1:8" ht="31.5" outlineLevel="2" x14ac:dyDescent="0.25">
      <c r="A44" s="53" t="s">
        <v>2714</v>
      </c>
      <c r="B44" s="234" t="s">
        <v>2709</v>
      </c>
      <c r="C44" s="143" t="s">
        <v>2710</v>
      </c>
      <c r="D44" s="135" t="s">
        <v>52</v>
      </c>
      <c r="E44" s="144">
        <v>1</v>
      </c>
      <c r="F44" s="145">
        <v>3492.06</v>
      </c>
      <c r="G44" s="48">
        <f t="shared" si="11"/>
        <v>4425.4799999999996</v>
      </c>
      <c r="H44" s="48">
        <f t="shared" si="13"/>
        <v>4425.4799999999996</v>
      </c>
    </row>
    <row r="45" spans="1:8" ht="63" outlineLevel="2" x14ac:dyDescent="0.25">
      <c r="A45" s="53" t="s">
        <v>2715</v>
      </c>
      <c r="B45" s="234" t="s">
        <v>414</v>
      </c>
      <c r="C45" s="143" t="s">
        <v>505</v>
      </c>
      <c r="D45" s="135" t="s">
        <v>52</v>
      </c>
      <c r="E45" s="144">
        <v>6</v>
      </c>
      <c r="F45" s="145">
        <v>1125.6300000000001</v>
      </c>
      <c r="G45" s="48">
        <f t="shared" si="11"/>
        <v>1426.51</v>
      </c>
      <c r="H45" s="48">
        <f t="shared" si="13"/>
        <v>8559.06</v>
      </c>
    </row>
    <row r="46" spans="1:8" ht="47.25" outlineLevel="2" x14ac:dyDescent="0.25">
      <c r="A46" s="53" t="s">
        <v>2716</v>
      </c>
      <c r="B46" s="234">
        <v>94575</v>
      </c>
      <c r="C46" s="143" t="s">
        <v>506</v>
      </c>
      <c r="D46" s="135" t="s">
        <v>77</v>
      </c>
      <c r="E46" s="144">
        <v>185.12</v>
      </c>
      <c r="F46" s="145">
        <v>839.52</v>
      </c>
      <c r="G46" s="48">
        <f t="shared" si="11"/>
        <v>1063.92</v>
      </c>
      <c r="H46" s="48">
        <f t="shared" si="13"/>
        <v>196952.87</v>
      </c>
    </row>
    <row r="47" spans="1:8" outlineLevel="2" x14ac:dyDescent="0.25">
      <c r="A47" s="53" t="s">
        <v>2717</v>
      </c>
      <c r="B47" s="234" t="s">
        <v>2711</v>
      </c>
      <c r="C47" s="143" t="s">
        <v>2712</v>
      </c>
      <c r="D47" s="135" t="s">
        <v>77</v>
      </c>
      <c r="E47" s="144">
        <v>56.67</v>
      </c>
      <c r="F47" s="145">
        <v>816.1</v>
      </c>
      <c r="G47" s="48">
        <f t="shared" si="11"/>
        <v>1034.24</v>
      </c>
      <c r="H47" s="48">
        <f t="shared" si="13"/>
        <v>58610.38</v>
      </c>
    </row>
    <row r="48" spans="1:8" ht="63" outlineLevel="2" x14ac:dyDescent="0.25">
      <c r="A48" s="53" t="s">
        <v>2718</v>
      </c>
      <c r="B48" s="234" t="s">
        <v>467</v>
      </c>
      <c r="C48" s="143" t="s">
        <v>521</v>
      </c>
      <c r="D48" s="135" t="s">
        <v>77</v>
      </c>
      <c r="E48" s="144">
        <v>183.33</v>
      </c>
      <c r="F48" s="145">
        <v>14.07</v>
      </c>
      <c r="G48" s="48">
        <f t="shared" ref="G48" si="14">TRUNC(F48*(1+$E$3),2)</f>
        <v>17.829999999999998</v>
      </c>
      <c r="H48" s="48">
        <f t="shared" ref="H48" si="15">TRUNC((G48*E48),2)</f>
        <v>3268.77</v>
      </c>
    </row>
    <row r="49" spans="1:8" outlineLevel="1" x14ac:dyDescent="0.25">
      <c r="A49" s="62"/>
      <c r="B49" s="62"/>
      <c r="C49" s="63" t="s">
        <v>13</v>
      </c>
      <c r="D49" s="62"/>
      <c r="E49" s="64"/>
      <c r="F49" s="64"/>
      <c r="G49" s="65"/>
      <c r="H49" s="65">
        <f>SUM(H39:H48)</f>
        <v>339391.8</v>
      </c>
    </row>
    <row r="50" spans="1:8" outlineLevel="1" x14ac:dyDescent="0.25">
      <c r="A50" s="123" t="s">
        <v>27</v>
      </c>
      <c r="B50" s="123"/>
      <c r="C50" s="124" t="s">
        <v>2719</v>
      </c>
      <c r="D50" s="123"/>
      <c r="E50" s="125"/>
      <c r="F50" s="125"/>
      <c r="G50" s="127"/>
      <c r="H50" s="126"/>
    </row>
    <row r="51" spans="1:8" s="57" customFormat="1" ht="31.5" outlineLevel="2" x14ac:dyDescent="0.25">
      <c r="A51" s="53" t="s">
        <v>1105</v>
      </c>
      <c r="B51" s="234">
        <v>93184</v>
      </c>
      <c r="C51" s="143" t="s">
        <v>492</v>
      </c>
      <c r="D51" s="135" t="s">
        <v>75</v>
      </c>
      <c r="E51" s="144">
        <v>42.3</v>
      </c>
      <c r="F51" s="145">
        <v>14.82</v>
      </c>
      <c r="G51" s="48">
        <f t="shared" ref="G51:G55" si="16">TRUNC(F51*(1+$E$3),2)</f>
        <v>18.78</v>
      </c>
      <c r="H51" s="48">
        <f t="shared" ref="H51" si="17">TRUNC((G51*E51),2)</f>
        <v>794.39</v>
      </c>
    </row>
    <row r="52" spans="1:8" s="57" customFormat="1" ht="31.5" outlineLevel="2" x14ac:dyDescent="0.25">
      <c r="A52" s="53" t="s">
        <v>1106</v>
      </c>
      <c r="B52" s="234">
        <v>93182</v>
      </c>
      <c r="C52" s="143" t="s">
        <v>490</v>
      </c>
      <c r="D52" s="135" t="s">
        <v>75</v>
      </c>
      <c r="E52" s="144">
        <v>3.2</v>
      </c>
      <c r="F52" s="145">
        <v>19.440000000000001</v>
      </c>
      <c r="G52" s="48">
        <f t="shared" si="16"/>
        <v>24.63</v>
      </c>
      <c r="H52" s="48">
        <f t="shared" ref="H52:H55" si="18">TRUNC((G52*E52),2)</f>
        <v>78.81</v>
      </c>
    </row>
    <row r="53" spans="1:8" ht="31.5" outlineLevel="2" x14ac:dyDescent="0.25">
      <c r="A53" s="53" t="s">
        <v>1107</v>
      </c>
      <c r="B53" s="234">
        <v>93183</v>
      </c>
      <c r="C53" s="143" t="s">
        <v>491</v>
      </c>
      <c r="D53" s="135" t="s">
        <v>75</v>
      </c>
      <c r="E53" s="144">
        <v>177</v>
      </c>
      <c r="F53" s="145">
        <v>25.06</v>
      </c>
      <c r="G53" s="48">
        <f t="shared" si="16"/>
        <v>31.75</v>
      </c>
      <c r="H53" s="48">
        <f t="shared" si="18"/>
        <v>5619.75</v>
      </c>
    </row>
    <row r="54" spans="1:8" ht="31.5" outlineLevel="2" x14ac:dyDescent="0.25">
      <c r="A54" s="53" t="s">
        <v>1108</v>
      </c>
      <c r="B54" s="234">
        <v>93195</v>
      </c>
      <c r="C54" s="143" t="s">
        <v>494</v>
      </c>
      <c r="D54" s="135" t="s">
        <v>75</v>
      </c>
      <c r="E54" s="144">
        <v>177</v>
      </c>
      <c r="F54" s="145">
        <v>22.33</v>
      </c>
      <c r="G54" s="48">
        <f t="shared" si="16"/>
        <v>28.29</v>
      </c>
      <c r="H54" s="48">
        <f t="shared" si="18"/>
        <v>5007.33</v>
      </c>
    </row>
    <row r="55" spans="1:8" ht="31.5" outlineLevel="2" x14ac:dyDescent="0.25">
      <c r="A55" s="53" t="s">
        <v>1110</v>
      </c>
      <c r="B55" s="234">
        <v>93194</v>
      </c>
      <c r="C55" s="143" t="s">
        <v>493</v>
      </c>
      <c r="D55" s="135" t="s">
        <v>75</v>
      </c>
      <c r="E55" s="144">
        <v>3.2</v>
      </c>
      <c r="F55" s="145">
        <v>19.22</v>
      </c>
      <c r="G55" s="48">
        <f t="shared" si="16"/>
        <v>24.35</v>
      </c>
      <c r="H55" s="48">
        <f t="shared" si="18"/>
        <v>77.92</v>
      </c>
    </row>
    <row r="56" spans="1:8" outlineLevel="1" x14ac:dyDescent="0.25">
      <c r="A56" s="62"/>
      <c r="B56" s="62"/>
      <c r="C56" s="63" t="s">
        <v>13</v>
      </c>
      <c r="D56" s="62"/>
      <c r="E56" s="64"/>
      <c r="F56" s="64"/>
      <c r="G56" s="65"/>
      <c r="H56" s="65">
        <f>SUM(H51:H55)</f>
        <v>11578.199999999999</v>
      </c>
    </row>
    <row r="57" spans="1:8" outlineLevel="1" x14ac:dyDescent="0.25">
      <c r="A57" s="123" t="s">
        <v>1212</v>
      </c>
      <c r="B57" s="123"/>
      <c r="C57" s="124" t="s">
        <v>2733</v>
      </c>
      <c r="D57" s="123"/>
      <c r="E57" s="126"/>
      <c r="F57" s="126"/>
      <c r="G57" s="127"/>
      <c r="H57" s="126"/>
    </row>
    <row r="58" spans="1:8" ht="78.75" outlineLevel="2" x14ac:dyDescent="0.25">
      <c r="A58" s="53" t="s">
        <v>2720</v>
      </c>
      <c r="B58" s="234">
        <v>89168</v>
      </c>
      <c r="C58" s="143" t="s">
        <v>300</v>
      </c>
      <c r="D58" s="135" t="s">
        <v>77</v>
      </c>
      <c r="E58" s="144">
        <v>2896.68</v>
      </c>
      <c r="F58" s="145">
        <v>58.35</v>
      </c>
      <c r="G58" s="48">
        <f t="shared" ref="G58" si="19">TRUNC(F58*(1+$E$3),2)</f>
        <v>73.94</v>
      </c>
      <c r="H58" s="48">
        <f t="shared" ref="H58" si="20">TRUNC((G58*E58),2)</f>
        <v>214180.51</v>
      </c>
    </row>
    <row r="59" spans="1:8" outlineLevel="1" x14ac:dyDescent="0.25">
      <c r="A59" s="62"/>
      <c r="B59" s="62"/>
      <c r="C59" s="63" t="s">
        <v>13</v>
      </c>
      <c r="D59" s="62"/>
      <c r="E59" s="64"/>
      <c r="F59" s="64"/>
      <c r="G59" s="65"/>
      <c r="H59" s="65">
        <f>SUM(H58:H58)</f>
        <v>214180.51</v>
      </c>
    </row>
    <row r="60" spans="1:8" outlineLevel="1" x14ac:dyDescent="0.25">
      <c r="A60" s="123" t="s">
        <v>2721</v>
      </c>
      <c r="B60" s="123"/>
      <c r="C60" s="124" t="s">
        <v>2734</v>
      </c>
      <c r="D60" s="123"/>
      <c r="E60" s="126"/>
      <c r="F60" s="126"/>
      <c r="G60" s="127"/>
      <c r="H60" s="126"/>
    </row>
    <row r="61" spans="1:8" s="57" customFormat="1" ht="78.75" outlineLevel="2" x14ac:dyDescent="0.25">
      <c r="A61" s="53" t="s">
        <v>2722</v>
      </c>
      <c r="B61" s="234">
        <v>87900</v>
      </c>
      <c r="C61" s="143" t="s">
        <v>511</v>
      </c>
      <c r="D61" s="135" t="s">
        <v>77</v>
      </c>
      <c r="E61" s="144">
        <v>4591.97</v>
      </c>
      <c r="F61" s="145">
        <v>5.32</v>
      </c>
      <c r="G61" s="48">
        <f t="shared" ref="G61:G67" si="21">TRUNC(F61*(1+$E$3),2)</f>
        <v>6.74</v>
      </c>
      <c r="H61" s="48">
        <f t="shared" ref="H61" si="22">TRUNC((G61*E61),2)</f>
        <v>30949.87</v>
      </c>
    </row>
    <row r="62" spans="1:8" s="57" customFormat="1" ht="94.5" outlineLevel="2" x14ac:dyDescent="0.25">
      <c r="A62" s="53" t="s">
        <v>2725</v>
      </c>
      <c r="B62" s="234">
        <v>89173</v>
      </c>
      <c r="C62" s="143" t="s">
        <v>324</v>
      </c>
      <c r="D62" s="135" t="s">
        <v>77</v>
      </c>
      <c r="E62" s="144">
        <v>4591.97</v>
      </c>
      <c r="F62" s="145">
        <v>23.25</v>
      </c>
      <c r="G62" s="48">
        <f t="shared" si="21"/>
        <v>29.46</v>
      </c>
      <c r="H62" s="48">
        <f t="shared" ref="H62:H67" si="23">TRUNC((G62*E62),2)</f>
        <v>135279.43</v>
      </c>
    </row>
    <row r="63" spans="1:8" s="57" customFormat="1" ht="63" outlineLevel="2" x14ac:dyDescent="0.25">
      <c r="A63" s="53" t="s">
        <v>2726</v>
      </c>
      <c r="B63" s="234">
        <v>87882</v>
      </c>
      <c r="C63" s="143" t="s">
        <v>2723</v>
      </c>
      <c r="D63" s="135" t="s">
        <v>77</v>
      </c>
      <c r="E63" s="144">
        <v>1717</v>
      </c>
      <c r="F63" s="145">
        <v>3.42</v>
      </c>
      <c r="G63" s="48">
        <f t="shared" si="21"/>
        <v>4.33</v>
      </c>
      <c r="H63" s="48">
        <f t="shared" si="23"/>
        <v>7434.61</v>
      </c>
    </row>
    <row r="64" spans="1:8" s="57" customFormat="1" ht="78.75" outlineLevel="2" x14ac:dyDescent="0.25">
      <c r="A64" s="53" t="s">
        <v>2727</v>
      </c>
      <c r="B64" s="234">
        <v>90408</v>
      </c>
      <c r="C64" s="143" t="s">
        <v>2724</v>
      </c>
      <c r="D64" s="135" t="s">
        <v>77</v>
      </c>
      <c r="E64" s="144">
        <v>1717</v>
      </c>
      <c r="F64" s="145">
        <v>21.85</v>
      </c>
      <c r="G64" s="48">
        <f t="shared" si="21"/>
        <v>27.69</v>
      </c>
      <c r="H64" s="48">
        <f t="shared" si="23"/>
        <v>47543.73</v>
      </c>
    </row>
    <row r="65" spans="1:8" s="57" customFormat="1" ht="94.5" outlineLevel="2" x14ac:dyDescent="0.25">
      <c r="A65" s="53" t="s">
        <v>2728</v>
      </c>
      <c r="B65" s="234">
        <v>89170</v>
      </c>
      <c r="C65" s="143" t="s">
        <v>1841</v>
      </c>
      <c r="D65" s="135" t="s">
        <v>77</v>
      </c>
      <c r="E65" s="144">
        <v>220.72</v>
      </c>
      <c r="F65" s="145">
        <v>49.41</v>
      </c>
      <c r="G65" s="48">
        <f t="shared" si="21"/>
        <v>62.61</v>
      </c>
      <c r="H65" s="48">
        <f t="shared" si="23"/>
        <v>13819.27</v>
      </c>
    </row>
    <row r="66" spans="1:8" s="57" customFormat="1" ht="63" outlineLevel="2" x14ac:dyDescent="0.25">
      <c r="A66" s="53" t="s">
        <v>2729</v>
      </c>
      <c r="B66" s="234" t="s">
        <v>325</v>
      </c>
      <c r="C66" s="143" t="s">
        <v>512</v>
      </c>
      <c r="D66" s="135" t="s">
        <v>77</v>
      </c>
      <c r="E66" s="144">
        <v>1134.3399999999999</v>
      </c>
      <c r="F66" s="145">
        <v>167.44</v>
      </c>
      <c r="G66" s="48">
        <f t="shared" si="21"/>
        <v>212.19</v>
      </c>
      <c r="H66" s="48">
        <f t="shared" si="23"/>
        <v>240695.6</v>
      </c>
    </row>
    <row r="67" spans="1:8" s="57" customFormat="1" ht="63" outlineLevel="2" x14ac:dyDescent="0.25">
      <c r="A67" s="53" t="s">
        <v>2730</v>
      </c>
      <c r="B67" s="234">
        <v>87242</v>
      </c>
      <c r="C67" s="143" t="s">
        <v>1813</v>
      </c>
      <c r="D67" s="135" t="s">
        <v>77</v>
      </c>
      <c r="E67" s="144">
        <v>353.24</v>
      </c>
      <c r="F67" s="145">
        <v>167.44</v>
      </c>
      <c r="G67" s="48">
        <f t="shared" si="21"/>
        <v>212.19</v>
      </c>
      <c r="H67" s="48">
        <f t="shared" si="23"/>
        <v>74953.990000000005</v>
      </c>
    </row>
    <row r="68" spans="1:8" s="57" customFormat="1" outlineLevel="1" x14ac:dyDescent="0.25">
      <c r="A68" s="92"/>
      <c r="B68" s="62"/>
      <c r="C68" s="63" t="s">
        <v>13</v>
      </c>
      <c r="D68" s="62"/>
      <c r="E68" s="64"/>
      <c r="F68" s="64"/>
      <c r="G68" s="65"/>
      <c r="H68" s="65">
        <f>SUM(H61:H67)</f>
        <v>550676.5</v>
      </c>
    </row>
    <row r="69" spans="1:8" outlineLevel="1" x14ac:dyDescent="0.25">
      <c r="A69" s="123" t="s">
        <v>2731</v>
      </c>
      <c r="B69" s="123"/>
      <c r="C69" s="124" t="s">
        <v>2735</v>
      </c>
      <c r="D69" s="123"/>
      <c r="E69" s="126"/>
      <c r="F69" s="126"/>
      <c r="G69" s="127"/>
      <c r="H69" s="126"/>
    </row>
    <row r="70" spans="1:8" s="57" customFormat="1" ht="47.25" outlineLevel="2" x14ac:dyDescent="0.25">
      <c r="A70" s="53" t="s">
        <v>2732</v>
      </c>
      <c r="B70" s="234">
        <v>87263</v>
      </c>
      <c r="C70" s="143" t="s">
        <v>326</v>
      </c>
      <c r="D70" s="135" t="s">
        <v>77</v>
      </c>
      <c r="E70" s="144">
        <v>1976.65</v>
      </c>
      <c r="F70" s="145">
        <v>81.58</v>
      </c>
      <c r="G70" s="48">
        <f t="shared" ref="G70:G76" si="24">TRUNC(F70*(1+$E$3),2)</f>
        <v>103.38</v>
      </c>
      <c r="H70" s="48">
        <f t="shared" ref="H70" si="25">TRUNC((G70*E70),2)</f>
        <v>204346.07</v>
      </c>
    </row>
    <row r="71" spans="1:8" s="57" customFormat="1" ht="47.25" outlineLevel="2" x14ac:dyDescent="0.25">
      <c r="A71" s="53" t="s">
        <v>2736</v>
      </c>
      <c r="B71" s="234" t="s">
        <v>2742</v>
      </c>
      <c r="C71" s="143" t="s">
        <v>2743</v>
      </c>
      <c r="D71" s="135" t="s">
        <v>75</v>
      </c>
      <c r="E71" s="144">
        <v>31.1</v>
      </c>
      <c r="F71" s="145">
        <v>78.900000000000006</v>
      </c>
      <c r="G71" s="48">
        <f t="shared" si="24"/>
        <v>99.98</v>
      </c>
      <c r="H71" s="48">
        <f t="shared" ref="H71:H76" si="26">TRUNC((G71*E71),2)</f>
        <v>3109.37</v>
      </c>
    </row>
    <row r="72" spans="1:8" s="57" customFormat="1" ht="63" outlineLevel="2" x14ac:dyDescent="0.25">
      <c r="A72" s="53" t="s">
        <v>2737</v>
      </c>
      <c r="B72" s="234">
        <v>94995</v>
      </c>
      <c r="C72" s="143" t="s">
        <v>517</v>
      </c>
      <c r="D72" s="135" t="s">
        <v>77</v>
      </c>
      <c r="E72" s="144">
        <v>585.01</v>
      </c>
      <c r="F72" s="145">
        <v>63.66</v>
      </c>
      <c r="G72" s="48">
        <f t="shared" si="24"/>
        <v>80.67</v>
      </c>
      <c r="H72" s="48">
        <f t="shared" si="26"/>
        <v>47192.75</v>
      </c>
    </row>
    <row r="73" spans="1:8" s="57" customFormat="1" ht="63" outlineLevel="2" x14ac:dyDescent="0.25">
      <c r="A73" s="53" t="s">
        <v>2738</v>
      </c>
      <c r="B73" s="234">
        <v>94997</v>
      </c>
      <c r="C73" s="143" t="s">
        <v>2744</v>
      </c>
      <c r="D73" s="135" t="s">
        <v>77</v>
      </c>
      <c r="E73" s="144">
        <v>916.89</v>
      </c>
      <c r="F73" s="145">
        <v>73</v>
      </c>
      <c r="G73" s="48">
        <f t="shared" si="24"/>
        <v>92.51</v>
      </c>
      <c r="H73" s="48">
        <f t="shared" si="26"/>
        <v>84821.49</v>
      </c>
    </row>
    <row r="74" spans="1:8" s="57" customFormat="1" ht="47.25" outlineLevel="2" x14ac:dyDescent="0.25">
      <c r="A74" s="53" t="s">
        <v>2739</v>
      </c>
      <c r="B74" s="234">
        <v>94263</v>
      </c>
      <c r="C74" s="143" t="s">
        <v>2745</v>
      </c>
      <c r="D74" s="135" t="s">
        <v>75</v>
      </c>
      <c r="E74" s="144">
        <v>795.95</v>
      </c>
      <c r="F74" s="145">
        <v>21.62</v>
      </c>
      <c r="G74" s="48">
        <f t="shared" si="24"/>
        <v>27.39</v>
      </c>
      <c r="H74" s="48">
        <f t="shared" si="26"/>
        <v>21801.07</v>
      </c>
    </row>
    <row r="75" spans="1:8" s="57" customFormat="1" ht="47.25" outlineLevel="2" x14ac:dyDescent="0.25">
      <c r="A75" s="53" t="s">
        <v>2740</v>
      </c>
      <c r="B75" s="234">
        <v>94264</v>
      </c>
      <c r="C75" s="143" t="s">
        <v>2746</v>
      </c>
      <c r="D75" s="135" t="s">
        <v>75</v>
      </c>
      <c r="E75" s="144">
        <v>47.04</v>
      </c>
      <c r="F75" s="145">
        <v>23.97</v>
      </c>
      <c r="G75" s="48">
        <f t="shared" si="24"/>
        <v>30.37</v>
      </c>
      <c r="H75" s="48">
        <f t="shared" si="26"/>
        <v>1428.6</v>
      </c>
    </row>
    <row r="76" spans="1:8" s="57" customFormat="1" ht="47.25" outlineLevel="2" x14ac:dyDescent="0.25">
      <c r="A76" s="53" t="s">
        <v>2741</v>
      </c>
      <c r="B76" s="234">
        <v>92398</v>
      </c>
      <c r="C76" s="143" t="s">
        <v>2747</v>
      </c>
      <c r="D76" s="135" t="s">
        <v>77</v>
      </c>
      <c r="E76" s="144">
        <v>1306.21</v>
      </c>
      <c r="F76" s="145">
        <v>54.2</v>
      </c>
      <c r="G76" s="48">
        <f t="shared" si="24"/>
        <v>68.680000000000007</v>
      </c>
      <c r="H76" s="48">
        <f t="shared" si="26"/>
        <v>89710.5</v>
      </c>
    </row>
    <row r="77" spans="1:8" s="57" customFormat="1" outlineLevel="1" x14ac:dyDescent="0.25">
      <c r="A77" s="53"/>
      <c r="B77" s="62"/>
      <c r="C77" s="63" t="s">
        <v>13</v>
      </c>
      <c r="D77" s="62"/>
      <c r="E77" s="64"/>
      <c r="F77" s="64"/>
      <c r="G77" s="65"/>
      <c r="H77" s="65">
        <f>SUM(H70:H76)</f>
        <v>452409.85</v>
      </c>
    </row>
    <row r="78" spans="1:8" s="57" customFormat="1" outlineLevel="1" x14ac:dyDescent="0.25">
      <c r="A78" s="123" t="s">
        <v>2748</v>
      </c>
      <c r="B78" s="123"/>
      <c r="C78" s="124" t="s">
        <v>2759</v>
      </c>
      <c r="D78" s="123"/>
      <c r="E78" s="126"/>
      <c r="F78" s="126"/>
      <c r="G78" s="127"/>
      <c r="H78" s="126"/>
    </row>
    <row r="79" spans="1:8" s="57" customFormat="1" ht="31.5" outlineLevel="1" x14ac:dyDescent="0.25">
      <c r="A79" s="53" t="s">
        <v>2749</v>
      </c>
      <c r="B79" s="234">
        <v>88497</v>
      </c>
      <c r="C79" s="143" t="s">
        <v>2760</v>
      </c>
      <c r="D79" s="135" t="s">
        <v>77</v>
      </c>
      <c r="E79" s="144">
        <v>1916.87</v>
      </c>
      <c r="F79" s="145">
        <v>10.61</v>
      </c>
      <c r="G79" s="48">
        <f t="shared" ref="G79:G88" si="27">TRUNC(F79*(1+$E$3),2)</f>
        <v>13.44</v>
      </c>
      <c r="H79" s="48">
        <f t="shared" ref="H79" si="28">TRUNC((G79*E79),2)</f>
        <v>25762.73</v>
      </c>
    </row>
    <row r="80" spans="1:8" s="57" customFormat="1" ht="31.5" outlineLevel="2" x14ac:dyDescent="0.25">
      <c r="A80" s="53" t="s">
        <v>2750</v>
      </c>
      <c r="B80" s="234">
        <v>88496</v>
      </c>
      <c r="C80" s="143" t="s">
        <v>2761</v>
      </c>
      <c r="D80" s="135" t="s">
        <v>77</v>
      </c>
      <c r="E80" s="144">
        <v>1717</v>
      </c>
      <c r="F80" s="145">
        <v>18.59</v>
      </c>
      <c r="G80" s="48">
        <f t="shared" si="27"/>
        <v>23.55</v>
      </c>
      <c r="H80" s="48">
        <f t="shared" ref="H80:H88" si="29">TRUNC((G80*E80),2)</f>
        <v>40435.35</v>
      </c>
    </row>
    <row r="81" spans="1:8" s="57" customFormat="1" ht="31.5" outlineLevel="2" x14ac:dyDescent="0.25">
      <c r="A81" s="53" t="s">
        <v>2751</v>
      </c>
      <c r="B81" s="234">
        <v>88483</v>
      </c>
      <c r="C81" s="143" t="s">
        <v>520</v>
      </c>
      <c r="D81" s="135" t="s">
        <v>77</v>
      </c>
      <c r="E81" s="144">
        <v>1916.87</v>
      </c>
      <c r="F81" s="145">
        <v>1.81</v>
      </c>
      <c r="G81" s="48">
        <f t="shared" si="27"/>
        <v>2.29</v>
      </c>
      <c r="H81" s="48">
        <f t="shared" si="29"/>
        <v>4389.63</v>
      </c>
    </row>
    <row r="82" spans="1:8" s="57" customFormat="1" ht="31.5" outlineLevel="2" x14ac:dyDescent="0.25">
      <c r="A82" s="53" t="s">
        <v>2752</v>
      </c>
      <c r="B82" s="234">
        <v>88482</v>
      </c>
      <c r="C82" s="143" t="s">
        <v>2762</v>
      </c>
      <c r="D82" s="135" t="s">
        <v>77</v>
      </c>
      <c r="E82" s="144">
        <v>1717</v>
      </c>
      <c r="F82" s="145">
        <v>2.02</v>
      </c>
      <c r="G82" s="48">
        <f t="shared" si="27"/>
        <v>2.5499999999999998</v>
      </c>
      <c r="H82" s="48">
        <f t="shared" si="29"/>
        <v>4378.3500000000004</v>
      </c>
    </row>
    <row r="83" spans="1:8" s="57" customFormat="1" ht="31.5" outlineLevel="2" x14ac:dyDescent="0.25">
      <c r="A83" s="53" t="s">
        <v>2753</v>
      </c>
      <c r="B83" s="234">
        <v>88487</v>
      </c>
      <c r="C83" s="143" t="s">
        <v>327</v>
      </c>
      <c r="D83" s="135" t="s">
        <v>77</v>
      </c>
      <c r="E83" s="144">
        <v>1916.87</v>
      </c>
      <c r="F83" s="145">
        <v>7.75</v>
      </c>
      <c r="G83" s="48">
        <f t="shared" ref="G83:G85" si="30">TRUNC(F83*(1+$E$3),2)</f>
        <v>9.82</v>
      </c>
      <c r="H83" s="48">
        <f t="shared" ref="H83:H85" si="31">TRUNC((G83*E83),2)</f>
        <v>18823.66</v>
      </c>
    </row>
    <row r="84" spans="1:8" s="57" customFormat="1" ht="31.5" outlineLevel="2" x14ac:dyDescent="0.25">
      <c r="A84" s="53" t="s">
        <v>2754</v>
      </c>
      <c r="B84" s="234">
        <v>88486</v>
      </c>
      <c r="C84" s="143" t="s">
        <v>2763</v>
      </c>
      <c r="D84" s="135" t="s">
        <v>77</v>
      </c>
      <c r="E84" s="144">
        <v>1717</v>
      </c>
      <c r="F84" s="145">
        <v>8.6300000000000008</v>
      </c>
      <c r="G84" s="48">
        <f t="shared" si="30"/>
        <v>10.93</v>
      </c>
      <c r="H84" s="48">
        <f t="shared" si="31"/>
        <v>18766.810000000001</v>
      </c>
    </row>
    <row r="85" spans="1:8" s="57" customFormat="1" ht="31.5" outlineLevel="2" x14ac:dyDescent="0.25">
      <c r="A85" s="53" t="s">
        <v>2755</v>
      </c>
      <c r="B85" s="234" t="s">
        <v>518</v>
      </c>
      <c r="C85" s="143" t="s">
        <v>519</v>
      </c>
      <c r="D85" s="135" t="s">
        <v>77</v>
      </c>
      <c r="E85" s="144">
        <v>1010.02</v>
      </c>
      <c r="F85" s="145">
        <v>12.88</v>
      </c>
      <c r="G85" s="48">
        <f t="shared" si="30"/>
        <v>16.32</v>
      </c>
      <c r="H85" s="48">
        <f t="shared" si="31"/>
        <v>16483.52</v>
      </c>
    </row>
    <row r="86" spans="1:8" s="57" customFormat="1" ht="31.5" outlineLevel="2" x14ac:dyDescent="0.25">
      <c r="A86" s="53" t="s">
        <v>2756</v>
      </c>
      <c r="B86" s="234">
        <v>88485</v>
      </c>
      <c r="C86" s="143" t="s">
        <v>349</v>
      </c>
      <c r="D86" s="135" t="s">
        <v>77</v>
      </c>
      <c r="E86" s="144">
        <v>987.14</v>
      </c>
      <c r="F86" s="145">
        <v>1.49</v>
      </c>
      <c r="G86" s="48">
        <f t="shared" si="27"/>
        <v>1.88</v>
      </c>
      <c r="H86" s="48">
        <f t="shared" si="29"/>
        <v>1855.82</v>
      </c>
    </row>
    <row r="87" spans="1:8" s="57" customFormat="1" ht="31.5" outlineLevel="2" x14ac:dyDescent="0.25">
      <c r="A87" s="53" t="s">
        <v>2757</v>
      </c>
      <c r="B87" s="234">
        <v>88489</v>
      </c>
      <c r="C87" s="143" t="s">
        <v>328</v>
      </c>
      <c r="D87" s="135" t="s">
        <v>77</v>
      </c>
      <c r="E87" s="144">
        <v>1213.54</v>
      </c>
      <c r="F87" s="145">
        <v>9.7799999999999994</v>
      </c>
      <c r="G87" s="48">
        <f t="shared" si="27"/>
        <v>12.39</v>
      </c>
      <c r="H87" s="48">
        <f t="shared" si="29"/>
        <v>15035.76</v>
      </c>
    </row>
    <row r="88" spans="1:8" s="57" customFormat="1" ht="31.5" outlineLevel="2" x14ac:dyDescent="0.25">
      <c r="A88" s="53" t="s">
        <v>2758</v>
      </c>
      <c r="B88" s="234" t="s">
        <v>2764</v>
      </c>
      <c r="C88" s="143" t="s">
        <v>2765</v>
      </c>
      <c r="D88" s="135" t="s">
        <v>77</v>
      </c>
      <c r="E88" s="144">
        <v>140.72</v>
      </c>
      <c r="F88" s="145">
        <v>11.93</v>
      </c>
      <c r="G88" s="48">
        <f t="shared" si="27"/>
        <v>15.11</v>
      </c>
      <c r="H88" s="48">
        <f t="shared" si="29"/>
        <v>2126.27</v>
      </c>
    </row>
    <row r="89" spans="1:8" s="57" customFormat="1" outlineLevel="1" x14ac:dyDescent="0.25">
      <c r="A89" s="92"/>
      <c r="B89" s="62"/>
      <c r="C89" s="63" t="s">
        <v>13</v>
      </c>
      <c r="D89" s="62"/>
      <c r="E89" s="64"/>
      <c r="F89" s="64"/>
      <c r="G89" s="65"/>
      <c r="H89" s="65">
        <f>SUM(H79:H88)</f>
        <v>148057.90000000002</v>
      </c>
    </row>
    <row r="90" spans="1:8" s="57" customFormat="1" outlineLevel="1" x14ac:dyDescent="0.25">
      <c r="A90" s="123" t="s">
        <v>2766</v>
      </c>
      <c r="B90" s="123"/>
      <c r="C90" s="124" t="s">
        <v>2777</v>
      </c>
      <c r="D90" s="123"/>
      <c r="E90" s="126"/>
      <c r="F90" s="126"/>
      <c r="G90" s="127"/>
      <c r="H90" s="126"/>
    </row>
    <row r="91" spans="1:8" s="57" customFormat="1" ht="47.25" outlineLevel="2" x14ac:dyDescent="0.25">
      <c r="A91" s="53" t="s">
        <v>2767</v>
      </c>
      <c r="B91" s="235">
        <v>96116</v>
      </c>
      <c r="C91" s="153" t="s">
        <v>551</v>
      </c>
      <c r="D91" s="135" t="s">
        <v>77</v>
      </c>
      <c r="E91" s="144">
        <v>64.849999999999994</v>
      </c>
      <c r="F91" s="145">
        <v>36.6</v>
      </c>
      <c r="G91" s="48">
        <f t="shared" ref="G91:G92" si="32">TRUNC(F91*(1+$E$3),2)</f>
        <v>46.38</v>
      </c>
      <c r="H91" s="48">
        <f t="shared" ref="H91" si="33">TRUNC((G91*E91),2)</f>
        <v>3007.74</v>
      </c>
    </row>
    <row r="92" spans="1:8" ht="47.25" outlineLevel="2" x14ac:dyDescent="0.25">
      <c r="A92" s="53" t="s">
        <v>2768</v>
      </c>
      <c r="B92" s="235" t="s">
        <v>552</v>
      </c>
      <c r="C92" s="153" t="s">
        <v>553</v>
      </c>
      <c r="D92" s="135" t="s">
        <v>77</v>
      </c>
      <c r="E92" s="144">
        <v>30.25</v>
      </c>
      <c r="F92" s="145">
        <v>568.29999999999995</v>
      </c>
      <c r="G92" s="48">
        <f t="shared" si="32"/>
        <v>720.2</v>
      </c>
      <c r="H92" s="48">
        <f t="shared" ref="H92" si="34">TRUNC((G92*E92),2)</f>
        <v>21786.05</v>
      </c>
    </row>
    <row r="93" spans="1:8" outlineLevel="1" x14ac:dyDescent="0.25">
      <c r="A93" s="62"/>
      <c r="B93" s="62"/>
      <c r="C93" s="63" t="s">
        <v>13</v>
      </c>
      <c r="D93" s="62"/>
      <c r="E93" s="64"/>
      <c r="F93" s="64"/>
      <c r="G93" s="65"/>
      <c r="H93" s="65">
        <f>SUM(H91:H92)</f>
        <v>24793.79</v>
      </c>
    </row>
    <row r="94" spans="1:8" outlineLevel="1" x14ac:dyDescent="0.25">
      <c r="A94" s="123" t="s">
        <v>2769</v>
      </c>
      <c r="B94" s="123"/>
      <c r="C94" s="124" t="s">
        <v>554</v>
      </c>
      <c r="D94" s="123"/>
      <c r="E94" s="126"/>
      <c r="F94" s="126"/>
      <c r="G94" s="127"/>
      <c r="H94" s="126"/>
    </row>
    <row r="95" spans="1:8" outlineLevel="1" x14ac:dyDescent="0.25">
      <c r="A95" s="53" t="s">
        <v>2770</v>
      </c>
      <c r="B95" s="234">
        <v>85180</v>
      </c>
      <c r="C95" s="143" t="s">
        <v>351</v>
      </c>
      <c r="D95" s="135" t="s">
        <v>77</v>
      </c>
      <c r="E95" s="144">
        <v>3080.89</v>
      </c>
      <c r="F95" s="145">
        <v>11.59</v>
      </c>
      <c r="G95" s="48">
        <f t="shared" ref="G95:G100" si="35">TRUNC(F95*(1+$E$3),2)</f>
        <v>14.68</v>
      </c>
      <c r="H95" s="48">
        <f t="shared" ref="H95" si="36">TRUNC((G95*E95),2)</f>
        <v>45227.46</v>
      </c>
    </row>
    <row r="96" spans="1:8" ht="31.5" outlineLevel="1" x14ac:dyDescent="0.25">
      <c r="A96" s="53" t="s">
        <v>2778</v>
      </c>
      <c r="B96" s="135" t="s">
        <v>555</v>
      </c>
      <c r="C96" s="143" t="s">
        <v>556</v>
      </c>
      <c r="D96" s="135" t="s">
        <v>10</v>
      </c>
      <c r="E96" s="144">
        <v>92.43</v>
      </c>
      <c r="F96" s="145">
        <v>108.25</v>
      </c>
      <c r="G96" s="48">
        <f t="shared" si="35"/>
        <v>137.18</v>
      </c>
      <c r="H96" s="48">
        <f t="shared" ref="H96:H100" si="37">TRUNC((G96*E96),2)</f>
        <v>12679.54</v>
      </c>
    </row>
    <row r="97" spans="1:8" outlineLevel="1" x14ac:dyDescent="0.25">
      <c r="A97" s="53" t="s">
        <v>2779</v>
      </c>
      <c r="B97" s="135" t="s">
        <v>2771</v>
      </c>
      <c r="C97" s="143" t="s">
        <v>2772</v>
      </c>
      <c r="D97" s="135" t="s">
        <v>52</v>
      </c>
      <c r="E97" s="144">
        <v>780</v>
      </c>
      <c r="F97" s="145">
        <v>3.48</v>
      </c>
      <c r="G97" s="48">
        <f t="shared" si="35"/>
        <v>4.41</v>
      </c>
      <c r="H97" s="48">
        <f t="shared" si="37"/>
        <v>3439.8</v>
      </c>
    </row>
    <row r="98" spans="1:8" ht="31.5" outlineLevel="1" x14ac:dyDescent="0.25">
      <c r="A98" s="53" t="s">
        <v>2780</v>
      </c>
      <c r="B98" s="234" t="s">
        <v>557</v>
      </c>
      <c r="C98" s="143" t="s">
        <v>558</v>
      </c>
      <c r="D98" s="135" t="s">
        <v>52</v>
      </c>
      <c r="E98" s="144">
        <v>29</v>
      </c>
      <c r="F98" s="145">
        <v>105.66</v>
      </c>
      <c r="G98" s="48">
        <f t="shared" si="35"/>
        <v>133.9</v>
      </c>
      <c r="H98" s="48">
        <f t="shared" si="37"/>
        <v>3883.1</v>
      </c>
    </row>
    <row r="99" spans="1:8" ht="31.5" outlineLevel="1" x14ac:dyDescent="0.25">
      <c r="A99" s="53" t="s">
        <v>2781</v>
      </c>
      <c r="B99" s="234" t="s">
        <v>2773</v>
      </c>
      <c r="C99" s="143" t="s">
        <v>2774</v>
      </c>
      <c r="D99" s="135" t="s">
        <v>52</v>
      </c>
      <c r="E99" s="144">
        <v>26</v>
      </c>
      <c r="F99" s="145">
        <v>161.69</v>
      </c>
      <c r="G99" s="48">
        <f t="shared" si="35"/>
        <v>204.9</v>
      </c>
      <c r="H99" s="48">
        <f t="shared" si="37"/>
        <v>5327.4</v>
      </c>
    </row>
    <row r="100" spans="1:8" ht="31.5" outlineLevel="1" x14ac:dyDescent="0.25">
      <c r="A100" s="53" t="s">
        <v>2782</v>
      </c>
      <c r="B100" s="135" t="s">
        <v>2775</v>
      </c>
      <c r="C100" s="143" t="s">
        <v>2776</v>
      </c>
      <c r="D100" s="135" t="s">
        <v>52</v>
      </c>
      <c r="E100" s="144">
        <v>7</v>
      </c>
      <c r="F100" s="145">
        <v>54.76</v>
      </c>
      <c r="G100" s="48">
        <f t="shared" si="35"/>
        <v>69.39</v>
      </c>
      <c r="H100" s="48">
        <f t="shared" si="37"/>
        <v>485.73</v>
      </c>
    </row>
    <row r="101" spans="1:8" outlineLevel="1" x14ac:dyDescent="0.25">
      <c r="A101" s="92"/>
      <c r="B101" s="154"/>
      <c r="C101" s="155" t="s">
        <v>13</v>
      </c>
      <c r="D101" s="154"/>
      <c r="E101" s="156"/>
      <c r="F101" s="156"/>
      <c r="G101" s="157"/>
      <c r="H101" s="157">
        <f>SUM(H95:H100)</f>
        <v>71043.03</v>
      </c>
    </row>
    <row r="102" spans="1:8" outlineLevel="1" x14ac:dyDescent="0.25">
      <c r="A102" s="119" t="s">
        <v>2796</v>
      </c>
      <c r="B102" s="119"/>
      <c r="C102" s="124" t="s">
        <v>449</v>
      </c>
      <c r="D102" s="119"/>
      <c r="E102" s="121"/>
      <c r="F102" s="121"/>
      <c r="G102" s="122"/>
      <c r="H102" s="122"/>
    </row>
    <row r="103" spans="1:8" ht="47.25" outlineLevel="1" x14ac:dyDescent="0.25">
      <c r="A103" s="53" t="s">
        <v>2797</v>
      </c>
      <c r="B103" s="150" t="s">
        <v>340</v>
      </c>
      <c r="C103" s="153" t="s">
        <v>339</v>
      </c>
      <c r="D103" s="150" t="s">
        <v>52</v>
      </c>
      <c r="E103" s="158">
        <v>1</v>
      </c>
      <c r="F103" s="159">
        <v>1931.64</v>
      </c>
      <c r="G103" s="48">
        <f t="shared" ref="G103:G117" si="38">TRUNC(F103*(1+$E$3),2)</f>
        <v>2447.96</v>
      </c>
      <c r="H103" s="48">
        <f t="shared" ref="H103:H117" si="39">TRUNC((G103*E103),2)</f>
        <v>2447.96</v>
      </c>
    </row>
    <row r="104" spans="1:8" ht="31.5" outlineLevel="1" x14ac:dyDescent="0.25">
      <c r="A104" s="53" t="s">
        <v>2798</v>
      </c>
      <c r="B104" s="150" t="s">
        <v>341</v>
      </c>
      <c r="C104" s="153" t="s">
        <v>342</v>
      </c>
      <c r="D104" s="150" t="s">
        <v>52</v>
      </c>
      <c r="E104" s="158">
        <v>22</v>
      </c>
      <c r="F104" s="159">
        <v>1500</v>
      </c>
      <c r="G104" s="48">
        <f t="shared" si="38"/>
        <v>1900.95</v>
      </c>
      <c r="H104" s="48">
        <f t="shared" si="39"/>
        <v>41820.9</v>
      </c>
    </row>
    <row r="105" spans="1:8" ht="31.5" outlineLevel="1" x14ac:dyDescent="0.25">
      <c r="A105" s="53" t="s">
        <v>2799</v>
      </c>
      <c r="B105" s="235">
        <v>85005</v>
      </c>
      <c r="C105" s="153" t="s">
        <v>546</v>
      </c>
      <c r="D105" s="150" t="s">
        <v>77</v>
      </c>
      <c r="E105" s="158">
        <v>3.96</v>
      </c>
      <c r="F105" s="159">
        <v>390.74</v>
      </c>
      <c r="G105" s="48">
        <f t="shared" si="38"/>
        <v>495.18</v>
      </c>
      <c r="H105" s="48">
        <f t="shared" si="39"/>
        <v>1960.91</v>
      </c>
    </row>
    <row r="106" spans="1:8" outlineLevel="1" x14ac:dyDescent="0.25">
      <c r="A106" s="53" t="s">
        <v>2800</v>
      </c>
      <c r="B106" s="150" t="s">
        <v>544</v>
      </c>
      <c r="C106" s="153" t="s">
        <v>545</v>
      </c>
      <c r="D106" s="150" t="s">
        <v>77</v>
      </c>
      <c r="E106" s="158">
        <v>35.04</v>
      </c>
      <c r="F106" s="159">
        <v>490.28</v>
      </c>
      <c r="G106" s="48">
        <f t="shared" si="38"/>
        <v>621.33000000000004</v>
      </c>
      <c r="H106" s="48">
        <f t="shared" si="39"/>
        <v>21771.4</v>
      </c>
    </row>
    <row r="107" spans="1:8" ht="47.25" outlineLevel="1" x14ac:dyDescent="0.25">
      <c r="A107" s="53" t="s">
        <v>2801</v>
      </c>
      <c r="B107" s="150" t="s">
        <v>361</v>
      </c>
      <c r="C107" s="153" t="s">
        <v>543</v>
      </c>
      <c r="D107" s="150" t="s">
        <v>52</v>
      </c>
      <c r="E107" s="158">
        <v>1</v>
      </c>
      <c r="F107" s="159">
        <v>3800</v>
      </c>
      <c r="G107" s="48">
        <f t="shared" si="38"/>
        <v>4815.74</v>
      </c>
      <c r="H107" s="48">
        <f t="shared" si="39"/>
        <v>4815.74</v>
      </c>
    </row>
    <row r="108" spans="1:8" ht="31.5" outlineLevel="1" x14ac:dyDescent="0.25">
      <c r="A108" s="53" t="s">
        <v>2802</v>
      </c>
      <c r="B108" s="150" t="s">
        <v>2783</v>
      </c>
      <c r="C108" s="153" t="s">
        <v>2784</v>
      </c>
      <c r="D108" s="150" t="s">
        <v>52</v>
      </c>
      <c r="E108" s="158">
        <v>2</v>
      </c>
      <c r="F108" s="159">
        <v>1400</v>
      </c>
      <c r="G108" s="48">
        <f t="shared" si="38"/>
        <v>1774.22</v>
      </c>
      <c r="H108" s="48">
        <f t="shared" si="39"/>
        <v>3548.44</v>
      </c>
    </row>
    <row r="109" spans="1:8" ht="31.5" outlineLevel="1" x14ac:dyDescent="0.25">
      <c r="A109" s="53" t="s">
        <v>2803</v>
      </c>
      <c r="B109" s="150" t="s">
        <v>541</v>
      </c>
      <c r="C109" s="153" t="s">
        <v>542</v>
      </c>
      <c r="D109" s="150" t="s">
        <v>52</v>
      </c>
      <c r="E109" s="158">
        <v>6</v>
      </c>
      <c r="F109" s="159">
        <v>145.43</v>
      </c>
      <c r="G109" s="48">
        <f t="shared" si="38"/>
        <v>184.3</v>
      </c>
      <c r="H109" s="48">
        <f t="shared" si="39"/>
        <v>1105.8</v>
      </c>
    </row>
    <row r="110" spans="1:8" ht="31.5" outlineLevel="1" x14ac:dyDescent="0.25">
      <c r="A110" s="53" t="s">
        <v>2804</v>
      </c>
      <c r="B110" s="150" t="s">
        <v>547</v>
      </c>
      <c r="C110" s="153" t="s">
        <v>548</v>
      </c>
      <c r="D110" s="150" t="s">
        <v>52</v>
      </c>
      <c r="E110" s="158">
        <v>6</v>
      </c>
      <c r="F110" s="159">
        <v>238.9</v>
      </c>
      <c r="G110" s="48">
        <f t="shared" si="38"/>
        <v>302.75</v>
      </c>
      <c r="H110" s="48">
        <f t="shared" si="39"/>
        <v>1816.5</v>
      </c>
    </row>
    <row r="111" spans="1:8" ht="31.5" outlineLevel="1" x14ac:dyDescent="0.25">
      <c r="A111" s="53" t="s">
        <v>2805</v>
      </c>
      <c r="B111" s="150" t="s">
        <v>568</v>
      </c>
      <c r="C111" s="153" t="s">
        <v>569</v>
      </c>
      <c r="D111" s="150" t="s">
        <v>75</v>
      </c>
      <c r="E111" s="158">
        <v>56.2</v>
      </c>
      <c r="F111" s="159">
        <v>35.15</v>
      </c>
      <c r="G111" s="48">
        <f t="shared" si="38"/>
        <v>44.54</v>
      </c>
      <c r="H111" s="48">
        <f t="shared" si="39"/>
        <v>2503.14</v>
      </c>
    </row>
    <row r="112" spans="1:8" ht="63" outlineLevel="1" x14ac:dyDescent="0.25">
      <c r="A112" s="53" t="s">
        <v>2806</v>
      </c>
      <c r="B112" s="150" t="s">
        <v>2785</v>
      </c>
      <c r="C112" s="153" t="s">
        <v>2786</v>
      </c>
      <c r="D112" s="150" t="s">
        <v>52</v>
      </c>
      <c r="E112" s="158">
        <v>1</v>
      </c>
      <c r="F112" s="159">
        <v>7400</v>
      </c>
      <c r="G112" s="48">
        <f t="shared" si="38"/>
        <v>9378.02</v>
      </c>
      <c r="H112" s="48">
        <f t="shared" si="39"/>
        <v>9378.02</v>
      </c>
    </row>
    <row r="113" spans="1:8" ht="63" outlineLevel="1" x14ac:dyDescent="0.25">
      <c r="A113" s="53" t="s">
        <v>2807</v>
      </c>
      <c r="B113" s="150" t="s">
        <v>495</v>
      </c>
      <c r="C113" s="153" t="s">
        <v>496</v>
      </c>
      <c r="D113" s="150" t="s">
        <v>75</v>
      </c>
      <c r="E113" s="158">
        <v>412.98</v>
      </c>
      <c r="F113" s="159">
        <v>781.28</v>
      </c>
      <c r="G113" s="48">
        <f t="shared" si="38"/>
        <v>990.11</v>
      </c>
      <c r="H113" s="48">
        <f t="shared" si="39"/>
        <v>408895.62</v>
      </c>
    </row>
    <row r="114" spans="1:8" ht="47.25" outlineLevel="1" x14ac:dyDescent="0.25">
      <c r="A114" s="53" t="s">
        <v>2808</v>
      </c>
      <c r="B114" s="150" t="s">
        <v>508</v>
      </c>
      <c r="C114" s="153" t="s">
        <v>509</v>
      </c>
      <c r="D114" s="150" t="s">
        <v>77</v>
      </c>
      <c r="E114" s="158">
        <v>34.43</v>
      </c>
      <c r="F114" s="159">
        <v>482.88</v>
      </c>
      <c r="G114" s="48">
        <f t="shared" si="38"/>
        <v>611.95000000000005</v>
      </c>
      <c r="H114" s="48">
        <f t="shared" si="39"/>
        <v>21069.43</v>
      </c>
    </row>
    <row r="115" spans="1:8" ht="31.5" outlineLevel="1" x14ac:dyDescent="0.25">
      <c r="A115" s="53" t="s">
        <v>2809</v>
      </c>
      <c r="B115" s="150" t="s">
        <v>417</v>
      </c>
      <c r="C115" s="153" t="s">
        <v>523</v>
      </c>
      <c r="D115" s="150" t="s">
        <v>52</v>
      </c>
      <c r="E115" s="158">
        <v>1</v>
      </c>
      <c r="F115" s="159">
        <v>2250</v>
      </c>
      <c r="G115" s="48">
        <f t="shared" si="38"/>
        <v>2851.42</v>
      </c>
      <c r="H115" s="48">
        <f t="shared" si="39"/>
        <v>2851.42</v>
      </c>
    </row>
    <row r="116" spans="1:8" ht="47.25" outlineLevel="1" x14ac:dyDescent="0.25">
      <c r="A116" s="53" t="s">
        <v>2810</v>
      </c>
      <c r="B116" s="150" t="s">
        <v>415</v>
      </c>
      <c r="C116" s="153" t="s">
        <v>416</v>
      </c>
      <c r="D116" s="150" t="s">
        <v>52</v>
      </c>
      <c r="E116" s="158">
        <v>12</v>
      </c>
      <c r="F116" s="159">
        <v>180</v>
      </c>
      <c r="G116" s="48">
        <f t="shared" si="38"/>
        <v>228.11</v>
      </c>
      <c r="H116" s="48">
        <f t="shared" si="39"/>
        <v>2737.32</v>
      </c>
    </row>
    <row r="117" spans="1:8" ht="47.25" outlineLevel="1" x14ac:dyDescent="0.25">
      <c r="A117" s="53" t="s">
        <v>2811</v>
      </c>
      <c r="B117" s="150" t="s">
        <v>2787</v>
      </c>
      <c r="C117" s="153" t="s">
        <v>406</v>
      </c>
      <c r="D117" s="150" t="s">
        <v>52</v>
      </c>
      <c r="E117" s="158">
        <v>1</v>
      </c>
      <c r="F117" s="159">
        <v>298.58</v>
      </c>
      <c r="G117" s="48">
        <f t="shared" si="38"/>
        <v>378.39</v>
      </c>
      <c r="H117" s="48">
        <f t="shared" si="39"/>
        <v>378.39</v>
      </c>
    </row>
    <row r="118" spans="1:8" ht="31.5" outlineLevel="2" x14ac:dyDescent="0.25">
      <c r="A118" s="53" t="s">
        <v>2812</v>
      </c>
      <c r="B118" s="150" t="s">
        <v>2788</v>
      </c>
      <c r="C118" s="153" t="s">
        <v>2789</v>
      </c>
      <c r="D118" s="150" t="s">
        <v>77</v>
      </c>
      <c r="E118" s="158">
        <v>77.11</v>
      </c>
      <c r="F118" s="159">
        <v>322.5</v>
      </c>
      <c r="G118" s="48">
        <f t="shared" ref="G118:G122" si="40">TRUNC(F118*(1+$E$3),2)</f>
        <v>408.7</v>
      </c>
      <c r="H118" s="48">
        <f t="shared" ref="H118" si="41">TRUNC((G118*E118),2)</f>
        <v>31514.85</v>
      </c>
    </row>
    <row r="119" spans="1:8" ht="31.5" outlineLevel="2" x14ac:dyDescent="0.25">
      <c r="A119" s="53" t="s">
        <v>2813</v>
      </c>
      <c r="B119" s="150" t="s">
        <v>2790</v>
      </c>
      <c r="C119" s="153" t="s">
        <v>2791</v>
      </c>
      <c r="D119" s="150" t="s">
        <v>77</v>
      </c>
      <c r="E119" s="158">
        <v>77.11</v>
      </c>
      <c r="F119" s="159">
        <v>324.70999999999998</v>
      </c>
      <c r="G119" s="48">
        <f t="shared" si="40"/>
        <v>411.5</v>
      </c>
      <c r="H119" s="48">
        <f t="shared" ref="H119:H122" si="42">TRUNC((G119*E119),2)</f>
        <v>31730.76</v>
      </c>
    </row>
    <row r="120" spans="1:8" ht="47.25" outlineLevel="2" x14ac:dyDescent="0.25">
      <c r="A120" s="53" t="s">
        <v>2814</v>
      </c>
      <c r="B120" s="150" t="s">
        <v>348</v>
      </c>
      <c r="C120" s="153" t="s">
        <v>565</v>
      </c>
      <c r="D120" s="150" t="s">
        <v>52</v>
      </c>
      <c r="E120" s="158">
        <v>1</v>
      </c>
      <c r="F120" s="159">
        <v>4729.72</v>
      </c>
      <c r="G120" s="48">
        <f t="shared" si="40"/>
        <v>5993.97</v>
      </c>
      <c r="H120" s="48">
        <f t="shared" si="42"/>
        <v>5993.97</v>
      </c>
    </row>
    <row r="121" spans="1:8" ht="63" outlineLevel="2" x14ac:dyDescent="0.25">
      <c r="A121" s="53" t="s">
        <v>2815</v>
      </c>
      <c r="B121" s="150" t="s">
        <v>2792</v>
      </c>
      <c r="C121" s="153" t="s">
        <v>2793</v>
      </c>
      <c r="D121" s="150" t="s">
        <v>75</v>
      </c>
      <c r="E121" s="158">
        <v>29.7</v>
      </c>
      <c r="F121" s="159">
        <v>81.39</v>
      </c>
      <c r="G121" s="48">
        <f t="shared" si="40"/>
        <v>103.14</v>
      </c>
      <c r="H121" s="48">
        <f t="shared" si="42"/>
        <v>3063.25</v>
      </c>
    </row>
    <row r="122" spans="1:8" ht="31.5" outlineLevel="2" x14ac:dyDescent="0.25">
      <c r="A122" s="53" t="s">
        <v>2816</v>
      </c>
      <c r="B122" s="150" t="s">
        <v>2794</v>
      </c>
      <c r="C122" s="153" t="s">
        <v>2795</v>
      </c>
      <c r="D122" s="150" t="s">
        <v>52</v>
      </c>
      <c r="E122" s="158">
        <v>30</v>
      </c>
      <c r="F122" s="159">
        <v>374.08</v>
      </c>
      <c r="G122" s="48">
        <f t="shared" si="40"/>
        <v>474.07</v>
      </c>
      <c r="H122" s="48">
        <f t="shared" si="42"/>
        <v>14222.1</v>
      </c>
    </row>
    <row r="123" spans="1:8" outlineLevel="1" x14ac:dyDescent="0.25">
      <c r="A123" s="62"/>
      <c r="B123" s="62"/>
      <c r="C123" s="63" t="s">
        <v>13</v>
      </c>
      <c r="D123" s="62"/>
      <c r="E123" s="64"/>
      <c r="F123" s="64"/>
      <c r="G123" s="65"/>
      <c r="H123" s="65">
        <f>SUM(H103:H122)</f>
        <v>613625.91999999993</v>
      </c>
    </row>
    <row r="124" spans="1:8" outlineLevel="1" x14ac:dyDescent="0.25">
      <c r="A124" s="123" t="s">
        <v>2817</v>
      </c>
      <c r="B124" s="123"/>
      <c r="C124" s="124" t="s">
        <v>95</v>
      </c>
      <c r="D124" s="123"/>
      <c r="E124" s="126"/>
      <c r="F124" s="126"/>
      <c r="G124" s="127"/>
      <c r="H124" s="126"/>
    </row>
    <row r="125" spans="1:8" ht="47.25" outlineLevel="2" x14ac:dyDescent="0.25">
      <c r="A125" s="53" t="s">
        <v>2818</v>
      </c>
      <c r="B125" s="135" t="s">
        <v>537</v>
      </c>
      <c r="C125" s="143" t="s">
        <v>538</v>
      </c>
      <c r="D125" s="135" t="s">
        <v>52</v>
      </c>
      <c r="E125" s="144">
        <v>99</v>
      </c>
      <c r="F125" s="145">
        <v>9.9</v>
      </c>
      <c r="G125" s="48">
        <f t="shared" ref="G125:G134" si="43">TRUNC(F125*(1+$E$3),2)</f>
        <v>12.54</v>
      </c>
      <c r="H125" s="48">
        <f t="shared" ref="H125" si="44">TRUNC((G125*E125),2)</f>
        <v>1241.46</v>
      </c>
    </row>
    <row r="126" spans="1:8" s="57" customFormat="1" outlineLevel="2" x14ac:dyDescent="0.25">
      <c r="A126" s="53" t="s">
        <v>2826</v>
      </c>
      <c r="B126" s="135" t="s">
        <v>2819</v>
      </c>
      <c r="C126" s="143" t="s">
        <v>2820</v>
      </c>
      <c r="D126" s="135" t="s">
        <v>75</v>
      </c>
      <c r="E126" s="144">
        <v>80</v>
      </c>
      <c r="F126" s="145">
        <v>15.1</v>
      </c>
      <c r="G126" s="48">
        <f t="shared" si="43"/>
        <v>19.13</v>
      </c>
      <c r="H126" s="48">
        <f t="shared" ref="H126:H134" si="45">TRUNC((G126*E126),2)</f>
        <v>1530.4</v>
      </c>
    </row>
    <row r="127" spans="1:8" s="57" customFormat="1" ht="31.5" outlineLevel="2" x14ac:dyDescent="0.25">
      <c r="A127" s="53" t="s">
        <v>2827</v>
      </c>
      <c r="B127" s="234">
        <v>84862</v>
      </c>
      <c r="C127" s="143" t="s">
        <v>510</v>
      </c>
      <c r="D127" s="135" t="s">
        <v>75</v>
      </c>
      <c r="E127" s="144">
        <v>175.63</v>
      </c>
      <c r="F127" s="145">
        <v>196.67</v>
      </c>
      <c r="G127" s="48">
        <f t="shared" si="43"/>
        <v>249.23</v>
      </c>
      <c r="H127" s="48">
        <f t="shared" si="45"/>
        <v>43772.26</v>
      </c>
    </row>
    <row r="128" spans="1:8" s="57" customFormat="1" outlineLevel="2" x14ac:dyDescent="0.25">
      <c r="A128" s="53" t="s">
        <v>2828</v>
      </c>
      <c r="B128" s="135" t="s">
        <v>507</v>
      </c>
      <c r="C128" s="143" t="s">
        <v>462</v>
      </c>
      <c r="D128" s="135" t="s">
        <v>77</v>
      </c>
      <c r="E128" s="144">
        <v>90.86</v>
      </c>
      <c r="F128" s="145">
        <v>298.51</v>
      </c>
      <c r="G128" s="48">
        <f t="shared" si="43"/>
        <v>378.3</v>
      </c>
      <c r="H128" s="48">
        <f t="shared" si="45"/>
        <v>34372.33</v>
      </c>
    </row>
    <row r="129" spans="1:8" s="57" customFormat="1" ht="47.25" outlineLevel="2" x14ac:dyDescent="0.25">
      <c r="A129" s="53" t="s">
        <v>2829</v>
      </c>
      <c r="B129" s="234" t="s">
        <v>2821</v>
      </c>
      <c r="C129" s="143" t="s">
        <v>2822</v>
      </c>
      <c r="D129" s="135" t="s">
        <v>77</v>
      </c>
      <c r="E129" s="144">
        <v>272.58999999999997</v>
      </c>
      <c r="F129" s="145">
        <v>16.690000000000001</v>
      </c>
      <c r="G129" s="48">
        <f t="shared" si="43"/>
        <v>21.15</v>
      </c>
      <c r="H129" s="48">
        <f t="shared" si="45"/>
        <v>5765.27</v>
      </c>
    </row>
    <row r="130" spans="1:8" s="57" customFormat="1" ht="31.5" outlineLevel="2" x14ac:dyDescent="0.25">
      <c r="A130" s="53" t="s">
        <v>2830</v>
      </c>
      <c r="B130" s="135" t="s">
        <v>2823</v>
      </c>
      <c r="C130" s="143" t="s">
        <v>2824</v>
      </c>
      <c r="D130" s="135" t="s">
        <v>52</v>
      </c>
      <c r="E130" s="144">
        <v>14</v>
      </c>
      <c r="F130" s="145">
        <v>19.899999999999999</v>
      </c>
      <c r="G130" s="48">
        <f t="shared" si="43"/>
        <v>25.21</v>
      </c>
      <c r="H130" s="48">
        <f t="shared" si="45"/>
        <v>352.94</v>
      </c>
    </row>
    <row r="131" spans="1:8" s="57" customFormat="1" outlineLevel="2" x14ac:dyDescent="0.25">
      <c r="A131" s="53" t="s">
        <v>2831</v>
      </c>
      <c r="B131" s="135" t="s">
        <v>539</v>
      </c>
      <c r="C131" s="143" t="s">
        <v>540</v>
      </c>
      <c r="D131" s="135" t="s">
        <v>52</v>
      </c>
      <c r="E131" s="144">
        <v>1</v>
      </c>
      <c r="F131" s="145">
        <v>3545</v>
      </c>
      <c r="G131" s="48">
        <f t="shared" si="43"/>
        <v>4492.57</v>
      </c>
      <c r="H131" s="48">
        <f t="shared" si="45"/>
        <v>4492.57</v>
      </c>
    </row>
    <row r="132" spans="1:8" s="57" customFormat="1" ht="31.5" outlineLevel="2" x14ac:dyDescent="0.25">
      <c r="A132" s="53" t="s">
        <v>2832</v>
      </c>
      <c r="B132" s="135" t="s">
        <v>338</v>
      </c>
      <c r="C132" s="143" t="s">
        <v>536</v>
      </c>
      <c r="D132" s="135" t="s">
        <v>77</v>
      </c>
      <c r="E132" s="144">
        <v>127.69</v>
      </c>
      <c r="F132" s="145">
        <v>171.55</v>
      </c>
      <c r="G132" s="48">
        <f t="shared" ref="G132" si="46">TRUNC(F132*(1+$E$3),2)</f>
        <v>217.4</v>
      </c>
      <c r="H132" s="48">
        <f t="shared" ref="H132" si="47">TRUNC((G132*E132),2)</f>
        <v>27759.8</v>
      </c>
    </row>
    <row r="133" spans="1:8" s="57" customFormat="1" ht="31.5" outlineLevel="2" x14ac:dyDescent="0.25">
      <c r="A133" s="53" t="s">
        <v>2833</v>
      </c>
      <c r="B133" s="135" t="s">
        <v>331</v>
      </c>
      <c r="C133" s="143" t="s">
        <v>332</v>
      </c>
      <c r="D133" s="135" t="s">
        <v>77</v>
      </c>
      <c r="E133" s="144">
        <v>42.75</v>
      </c>
      <c r="F133" s="145">
        <v>152</v>
      </c>
      <c r="G133" s="48">
        <f t="shared" si="43"/>
        <v>192.62</v>
      </c>
      <c r="H133" s="48">
        <f t="shared" si="45"/>
        <v>8234.5</v>
      </c>
    </row>
    <row r="134" spans="1:8" s="57" customFormat="1" ht="31.5" outlineLevel="2" x14ac:dyDescent="0.25">
      <c r="A134" s="53" t="s">
        <v>2834</v>
      </c>
      <c r="B134" s="234">
        <v>84665</v>
      </c>
      <c r="C134" s="143" t="s">
        <v>2825</v>
      </c>
      <c r="D134" s="135" t="s">
        <v>77</v>
      </c>
      <c r="E134" s="144">
        <v>9.6199999999999992</v>
      </c>
      <c r="F134" s="145">
        <v>15.68</v>
      </c>
      <c r="G134" s="48">
        <f t="shared" si="43"/>
        <v>19.87</v>
      </c>
      <c r="H134" s="48">
        <f t="shared" si="45"/>
        <v>191.14</v>
      </c>
    </row>
    <row r="135" spans="1:8" outlineLevel="1" x14ac:dyDescent="0.25">
      <c r="A135" s="92"/>
      <c r="B135" s="62"/>
      <c r="C135" s="63" t="s">
        <v>13</v>
      </c>
      <c r="D135" s="62"/>
      <c r="E135" s="64"/>
      <c r="F135" s="64"/>
      <c r="G135" s="65"/>
      <c r="H135" s="65">
        <f>SUM(H125:H134)</f>
        <v>127712.67000000001</v>
      </c>
    </row>
    <row r="136" spans="1:8" outlineLevel="1" x14ac:dyDescent="0.25">
      <c r="A136" s="123" t="s">
        <v>2835</v>
      </c>
      <c r="B136" s="123"/>
      <c r="C136" s="124" t="s">
        <v>106</v>
      </c>
      <c r="D136" s="123"/>
      <c r="E136" s="125"/>
      <c r="F136" s="125"/>
      <c r="G136" s="56"/>
      <c r="H136" s="126"/>
    </row>
    <row r="137" spans="1:8" ht="47.25" outlineLevel="1" x14ac:dyDescent="0.25">
      <c r="A137" s="53" t="s">
        <v>2840</v>
      </c>
      <c r="B137" s="234" t="s">
        <v>592</v>
      </c>
      <c r="C137" s="143" t="s">
        <v>593</v>
      </c>
      <c r="D137" s="135" t="s">
        <v>52</v>
      </c>
      <c r="E137" s="144">
        <v>2</v>
      </c>
      <c r="F137" s="145">
        <v>8222.41</v>
      </c>
      <c r="G137" s="48">
        <f t="shared" ref="G137:G150" si="48">TRUNC(F137*(1+$E$3),2)</f>
        <v>10420.26</v>
      </c>
      <c r="H137" s="48">
        <f t="shared" ref="H137:H150" si="49">TRUNC((G137*E137),2)</f>
        <v>20840.52</v>
      </c>
    </row>
    <row r="138" spans="1:8" ht="110.25" outlineLevel="1" x14ac:dyDescent="0.25">
      <c r="A138" s="53" t="s">
        <v>2841</v>
      </c>
      <c r="B138" s="234">
        <v>90105</v>
      </c>
      <c r="C138" s="143" t="s">
        <v>640</v>
      </c>
      <c r="D138" s="135" t="s">
        <v>153</v>
      </c>
      <c r="E138" s="144">
        <v>21.69</v>
      </c>
      <c r="F138" s="145">
        <v>10.76</v>
      </c>
      <c r="G138" s="48">
        <f t="shared" si="48"/>
        <v>13.63</v>
      </c>
      <c r="H138" s="48">
        <f t="shared" si="49"/>
        <v>295.63</v>
      </c>
    </row>
    <row r="139" spans="1:8" ht="94.5" outlineLevel="1" x14ac:dyDescent="0.25">
      <c r="A139" s="53" t="s">
        <v>2842</v>
      </c>
      <c r="B139" s="234">
        <v>93378</v>
      </c>
      <c r="C139" s="143" t="s">
        <v>641</v>
      </c>
      <c r="D139" s="135" t="s">
        <v>153</v>
      </c>
      <c r="E139" s="144">
        <v>17.350000000000001</v>
      </c>
      <c r="F139" s="145">
        <v>16.03</v>
      </c>
      <c r="G139" s="48">
        <f t="shared" si="48"/>
        <v>20.309999999999999</v>
      </c>
      <c r="H139" s="48">
        <f t="shared" si="49"/>
        <v>352.37</v>
      </c>
    </row>
    <row r="140" spans="1:8" ht="63" outlineLevel="1" x14ac:dyDescent="0.25">
      <c r="A140" s="53" t="s">
        <v>2843</v>
      </c>
      <c r="B140" s="234" t="s">
        <v>467</v>
      </c>
      <c r="C140" s="143" t="s">
        <v>521</v>
      </c>
      <c r="D140" s="135" t="s">
        <v>77</v>
      </c>
      <c r="E140" s="144">
        <v>5.87</v>
      </c>
      <c r="F140" s="145">
        <v>14.07</v>
      </c>
      <c r="G140" s="48">
        <f t="shared" si="48"/>
        <v>17.829999999999998</v>
      </c>
      <c r="H140" s="48">
        <f t="shared" si="49"/>
        <v>104.66</v>
      </c>
    </row>
    <row r="141" spans="1:8" ht="63" outlineLevel="1" x14ac:dyDescent="0.25">
      <c r="A141" s="53" t="s">
        <v>2844</v>
      </c>
      <c r="B141" s="234">
        <v>92690</v>
      </c>
      <c r="C141" s="143" t="s">
        <v>594</v>
      </c>
      <c r="D141" s="135" t="s">
        <v>75</v>
      </c>
      <c r="E141" s="144">
        <v>67.78</v>
      </c>
      <c r="F141" s="145">
        <v>30.43</v>
      </c>
      <c r="G141" s="48">
        <f t="shared" si="48"/>
        <v>38.56</v>
      </c>
      <c r="H141" s="48">
        <f t="shared" si="49"/>
        <v>2613.59</v>
      </c>
    </row>
    <row r="142" spans="1:8" ht="63" outlineLevel="1" x14ac:dyDescent="0.25">
      <c r="A142" s="53" t="s">
        <v>2845</v>
      </c>
      <c r="B142" s="234">
        <v>92689</v>
      </c>
      <c r="C142" s="143" t="s">
        <v>2836</v>
      </c>
      <c r="D142" s="135" t="s">
        <v>75</v>
      </c>
      <c r="E142" s="144">
        <v>30</v>
      </c>
      <c r="F142" s="145">
        <v>20.85</v>
      </c>
      <c r="G142" s="48">
        <f t="shared" si="48"/>
        <v>26.42</v>
      </c>
      <c r="H142" s="48">
        <f t="shared" si="49"/>
        <v>792.6</v>
      </c>
    </row>
    <row r="143" spans="1:8" ht="63" outlineLevel="1" x14ac:dyDescent="0.25">
      <c r="A143" s="53" t="s">
        <v>2846</v>
      </c>
      <c r="B143" s="234">
        <v>92701</v>
      </c>
      <c r="C143" s="143" t="s">
        <v>1907</v>
      </c>
      <c r="D143" s="135" t="s">
        <v>52</v>
      </c>
      <c r="E143" s="144">
        <v>13</v>
      </c>
      <c r="F143" s="145">
        <v>20.67</v>
      </c>
      <c r="G143" s="48">
        <f t="shared" si="48"/>
        <v>26.19</v>
      </c>
      <c r="H143" s="48">
        <f t="shared" si="49"/>
        <v>340.47</v>
      </c>
    </row>
    <row r="144" spans="1:8" ht="47.25" outlineLevel="1" x14ac:dyDescent="0.25">
      <c r="A144" s="53" t="s">
        <v>2847</v>
      </c>
      <c r="B144" s="234">
        <v>92705</v>
      </c>
      <c r="C144" s="143" t="s">
        <v>2837</v>
      </c>
      <c r="D144" s="135" t="s">
        <v>52</v>
      </c>
      <c r="E144" s="144">
        <v>3</v>
      </c>
      <c r="F144" s="145">
        <v>27.32</v>
      </c>
      <c r="G144" s="48">
        <f t="shared" si="48"/>
        <v>34.619999999999997</v>
      </c>
      <c r="H144" s="48">
        <f t="shared" si="49"/>
        <v>103.86</v>
      </c>
    </row>
    <row r="145" spans="1:8" ht="63" outlineLevel="1" x14ac:dyDescent="0.25">
      <c r="A145" s="53" t="s">
        <v>2848</v>
      </c>
      <c r="B145" s="234">
        <v>92699</v>
      </c>
      <c r="C145" s="143" t="s">
        <v>2838</v>
      </c>
      <c r="D145" s="135" t="s">
        <v>52</v>
      </c>
      <c r="E145" s="144">
        <v>27</v>
      </c>
      <c r="F145" s="145">
        <v>12.59</v>
      </c>
      <c r="G145" s="48">
        <f t="shared" si="48"/>
        <v>15.95</v>
      </c>
      <c r="H145" s="48">
        <f t="shared" si="49"/>
        <v>430.65</v>
      </c>
    </row>
    <row r="146" spans="1:8" ht="47.25" outlineLevel="1" x14ac:dyDescent="0.25">
      <c r="A146" s="53" t="s">
        <v>2849</v>
      </c>
      <c r="B146" s="234">
        <v>92704</v>
      </c>
      <c r="C146" s="143" t="s">
        <v>2839</v>
      </c>
      <c r="D146" s="135" t="s">
        <v>52</v>
      </c>
      <c r="E146" s="144">
        <v>9</v>
      </c>
      <c r="F146" s="145">
        <v>16.97</v>
      </c>
      <c r="G146" s="48">
        <f t="shared" si="48"/>
        <v>21.5</v>
      </c>
      <c r="H146" s="48">
        <f t="shared" si="49"/>
        <v>193.5</v>
      </c>
    </row>
    <row r="147" spans="1:8" ht="31.5" outlineLevel="1" x14ac:dyDescent="0.25">
      <c r="A147" s="53" t="s">
        <v>2850</v>
      </c>
      <c r="B147" s="234" t="s">
        <v>595</v>
      </c>
      <c r="C147" s="143" t="s">
        <v>596</v>
      </c>
      <c r="D147" s="135" t="s">
        <v>60</v>
      </c>
      <c r="E147" s="144">
        <v>5</v>
      </c>
      <c r="F147" s="145">
        <v>34.57</v>
      </c>
      <c r="G147" s="48">
        <f t="shared" si="48"/>
        <v>43.81</v>
      </c>
      <c r="H147" s="48">
        <f t="shared" si="49"/>
        <v>219.05</v>
      </c>
    </row>
    <row r="148" spans="1:8" outlineLevel="1" x14ac:dyDescent="0.25">
      <c r="A148" s="53" t="s">
        <v>2851</v>
      </c>
      <c r="B148" s="135" t="s">
        <v>597</v>
      </c>
      <c r="C148" s="143" t="s">
        <v>598</v>
      </c>
      <c r="D148" s="135" t="s">
        <v>52</v>
      </c>
      <c r="E148" s="144">
        <v>7</v>
      </c>
      <c r="F148" s="145">
        <v>43.69</v>
      </c>
      <c r="G148" s="48">
        <f t="shared" si="48"/>
        <v>55.36</v>
      </c>
      <c r="H148" s="48">
        <f t="shared" si="49"/>
        <v>387.52</v>
      </c>
    </row>
    <row r="149" spans="1:8" ht="63" outlineLevel="1" x14ac:dyDescent="0.25">
      <c r="A149" s="53" t="s">
        <v>2852</v>
      </c>
      <c r="B149" s="234">
        <v>95249</v>
      </c>
      <c r="C149" s="143" t="s">
        <v>599</v>
      </c>
      <c r="D149" s="135" t="s">
        <v>52</v>
      </c>
      <c r="E149" s="144">
        <v>1</v>
      </c>
      <c r="F149" s="145">
        <v>51.27</v>
      </c>
      <c r="G149" s="48">
        <f t="shared" si="48"/>
        <v>64.97</v>
      </c>
      <c r="H149" s="48">
        <f t="shared" si="49"/>
        <v>64.97</v>
      </c>
    </row>
    <row r="150" spans="1:8" ht="47.25" outlineLevel="1" x14ac:dyDescent="0.25">
      <c r="A150" s="53" t="s">
        <v>2853</v>
      </c>
      <c r="B150" s="234">
        <v>92905</v>
      </c>
      <c r="C150" s="143" t="s">
        <v>600</v>
      </c>
      <c r="D150" s="135" t="s">
        <v>52</v>
      </c>
      <c r="E150" s="144">
        <v>11</v>
      </c>
      <c r="F150" s="145">
        <v>29.41</v>
      </c>
      <c r="G150" s="48">
        <f t="shared" si="48"/>
        <v>37.270000000000003</v>
      </c>
      <c r="H150" s="48">
        <f t="shared" si="49"/>
        <v>409.97</v>
      </c>
    </row>
    <row r="151" spans="1:8" outlineLevel="1" x14ac:dyDescent="0.25">
      <c r="A151" s="62"/>
      <c r="B151" s="62"/>
      <c r="C151" s="63" t="s">
        <v>13</v>
      </c>
      <c r="D151" s="62"/>
      <c r="E151" s="64"/>
      <c r="F151" s="64"/>
      <c r="G151" s="64"/>
      <c r="H151" s="65">
        <f>SUM(H137:H150)</f>
        <v>27149.360000000004</v>
      </c>
    </row>
    <row r="152" spans="1:8" outlineLevel="1" x14ac:dyDescent="0.25">
      <c r="A152" s="123" t="s">
        <v>2855</v>
      </c>
      <c r="B152" s="123"/>
      <c r="C152" s="124" t="s">
        <v>2854</v>
      </c>
      <c r="D152" s="123"/>
      <c r="E152" s="125"/>
      <c r="F152" s="125"/>
      <c r="G152" s="56"/>
      <c r="H152" s="126"/>
    </row>
    <row r="153" spans="1:8" outlineLevel="2" x14ac:dyDescent="0.25">
      <c r="A153" s="53" t="s">
        <v>2856</v>
      </c>
      <c r="B153" s="234" t="s">
        <v>561</v>
      </c>
      <c r="C153" s="143" t="s">
        <v>562</v>
      </c>
      <c r="D153" s="135" t="s">
        <v>77</v>
      </c>
      <c r="E153" s="144">
        <v>241.79</v>
      </c>
      <c r="F153" s="145">
        <v>10.39</v>
      </c>
      <c r="G153" s="48">
        <f t="shared" ref="G153:G155" si="50">TRUNC(F153*(1+$E$3),2)</f>
        <v>13.16</v>
      </c>
      <c r="H153" s="48">
        <f t="shared" ref="H153" si="51">TRUNC((G153*E153),2)</f>
        <v>3181.95</v>
      </c>
    </row>
    <row r="154" spans="1:8" outlineLevel="2" x14ac:dyDescent="0.25">
      <c r="A154" s="53" t="s">
        <v>2857</v>
      </c>
      <c r="B154" s="135" t="s">
        <v>559</v>
      </c>
      <c r="C154" s="143" t="s">
        <v>560</v>
      </c>
      <c r="D154" s="135" t="s">
        <v>77</v>
      </c>
      <c r="E154" s="144">
        <v>1708.3</v>
      </c>
      <c r="F154" s="145">
        <v>5.48</v>
      </c>
      <c r="G154" s="48">
        <f t="shared" si="50"/>
        <v>6.94</v>
      </c>
      <c r="H154" s="48">
        <f t="shared" ref="H154:H155" si="52">TRUNC((G154*E154),2)</f>
        <v>11855.6</v>
      </c>
    </row>
    <row r="155" spans="1:8" outlineLevel="2" x14ac:dyDescent="0.25">
      <c r="A155" s="53" t="s">
        <v>2858</v>
      </c>
      <c r="B155" s="234">
        <v>9537</v>
      </c>
      <c r="C155" s="143" t="s">
        <v>329</v>
      </c>
      <c r="D155" s="135" t="s">
        <v>77</v>
      </c>
      <c r="E155" s="144">
        <v>4910.01</v>
      </c>
      <c r="F155" s="145">
        <v>2.09</v>
      </c>
      <c r="G155" s="48">
        <f t="shared" si="50"/>
        <v>2.64</v>
      </c>
      <c r="H155" s="48">
        <f t="shared" si="52"/>
        <v>12962.42</v>
      </c>
    </row>
    <row r="156" spans="1:8" outlineLevel="1" x14ac:dyDescent="0.25">
      <c r="A156" s="62"/>
      <c r="B156" s="62"/>
      <c r="C156" s="63" t="s">
        <v>13</v>
      </c>
      <c r="D156" s="62"/>
      <c r="E156" s="64"/>
      <c r="F156" s="64"/>
      <c r="G156" s="65"/>
      <c r="H156" s="65">
        <f>SUM(H153:H155)</f>
        <v>27999.97</v>
      </c>
    </row>
    <row r="157" spans="1:8" outlineLevel="1" x14ac:dyDescent="0.25">
      <c r="A157" s="123" t="s">
        <v>2859</v>
      </c>
      <c r="B157" s="123"/>
      <c r="C157" s="124" t="s">
        <v>588</v>
      </c>
      <c r="D157" s="123"/>
      <c r="E157" s="125"/>
      <c r="F157" s="125"/>
      <c r="G157" s="127"/>
      <c r="H157" s="126"/>
    </row>
    <row r="158" spans="1:8" ht="31.5" outlineLevel="2" x14ac:dyDescent="0.25">
      <c r="A158" s="53" t="s">
        <v>2861</v>
      </c>
      <c r="B158" s="135" t="s">
        <v>418</v>
      </c>
      <c r="C158" s="143" t="s">
        <v>419</v>
      </c>
      <c r="D158" s="135" t="s">
        <v>77</v>
      </c>
      <c r="E158" s="144">
        <v>463.65</v>
      </c>
      <c r="F158" s="145">
        <v>38.56</v>
      </c>
      <c r="G158" s="48">
        <f t="shared" ref="G158" si="53">TRUNC(F158*(1+$E$3),2)</f>
        <v>48.86</v>
      </c>
      <c r="H158" s="48">
        <f t="shared" ref="H158" si="54">TRUNC((G158*E158),2)</f>
        <v>22653.93</v>
      </c>
    </row>
    <row r="159" spans="1:8" outlineLevel="1" x14ac:dyDescent="0.25">
      <c r="A159" s="62"/>
      <c r="B159" s="62"/>
      <c r="C159" s="63" t="s">
        <v>13</v>
      </c>
      <c r="D159" s="62"/>
      <c r="E159" s="64"/>
      <c r="F159" s="64"/>
      <c r="G159" s="65"/>
      <c r="H159" s="65">
        <f>SUM(H158:H158)</f>
        <v>22653.93</v>
      </c>
    </row>
    <row r="160" spans="1:8" outlineLevel="1" x14ac:dyDescent="0.25">
      <c r="A160" s="123" t="s">
        <v>2860</v>
      </c>
      <c r="B160" s="123"/>
      <c r="C160" s="124" t="s">
        <v>2863</v>
      </c>
      <c r="D160" s="123"/>
      <c r="E160" s="126"/>
      <c r="F160" s="126"/>
      <c r="G160" s="127"/>
      <c r="H160" s="126"/>
    </row>
    <row r="161" spans="1:8" ht="63" outlineLevel="1" x14ac:dyDescent="0.25">
      <c r="A161" s="53" t="s">
        <v>2862</v>
      </c>
      <c r="B161" s="135" t="s">
        <v>336</v>
      </c>
      <c r="C161" s="143" t="s">
        <v>337</v>
      </c>
      <c r="D161" s="135" t="s">
        <v>52</v>
      </c>
      <c r="E161" s="144">
        <v>8</v>
      </c>
      <c r="F161" s="145">
        <v>1198.92</v>
      </c>
      <c r="G161" s="48">
        <f t="shared" ref="G161:G163" si="55">TRUNC(F161*(1+$E$3),2)</f>
        <v>1519.39</v>
      </c>
      <c r="H161" s="48">
        <f t="shared" ref="H161:H163" si="56">TRUNC((G161*E161),2)</f>
        <v>12155.12</v>
      </c>
    </row>
    <row r="162" spans="1:8" ht="63" outlineLevel="1" x14ac:dyDescent="0.25">
      <c r="A162" s="53" t="s">
        <v>2864</v>
      </c>
      <c r="B162" s="135" t="s">
        <v>414</v>
      </c>
      <c r="C162" s="143" t="s">
        <v>505</v>
      </c>
      <c r="D162" s="135" t="s">
        <v>52</v>
      </c>
      <c r="E162" s="144">
        <v>2</v>
      </c>
      <c r="F162" s="145">
        <v>1125.6300000000001</v>
      </c>
      <c r="G162" s="48">
        <f t="shared" si="55"/>
        <v>1426.51</v>
      </c>
      <c r="H162" s="48">
        <f t="shared" si="56"/>
        <v>2853.02</v>
      </c>
    </row>
    <row r="163" spans="1:8" ht="47.25" outlineLevel="1" x14ac:dyDescent="0.25">
      <c r="A163" s="53" t="s">
        <v>2865</v>
      </c>
      <c r="B163" s="234">
        <v>94575</v>
      </c>
      <c r="C163" s="143" t="s">
        <v>506</v>
      </c>
      <c r="D163" s="135" t="s">
        <v>77</v>
      </c>
      <c r="E163" s="144">
        <v>11.2</v>
      </c>
      <c r="F163" s="145">
        <v>839.52</v>
      </c>
      <c r="G163" s="48">
        <f t="shared" si="55"/>
        <v>1063.92</v>
      </c>
      <c r="H163" s="48">
        <f t="shared" si="56"/>
        <v>11915.9</v>
      </c>
    </row>
    <row r="164" spans="1:8" ht="63" outlineLevel="2" x14ac:dyDescent="0.25">
      <c r="A164" s="53" t="s">
        <v>2866</v>
      </c>
      <c r="B164" s="135" t="s">
        <v>149</v>
      </c>
      <c r="C164" s="143" t="s">
        <v>563</v>
      </c>
      <c r="D164" s="135" t="s">
        <v>52</v>
      </c>
      <c r="E164" s="144">
        <v>2</v>
      </c>
      <c r="F164" s="145">
        <v>2523.1799999999998</v>
      </c>
      <c r="G164" s="48">
        <f t="shared" ref="G164" si="57">TRUNC(F164*(1+$E$3),2)</f>
        <v>3197.62</v>
      </c>
      <c r="H164" s="48">
        <f t="shared" ref="H164" si="58">TRUNC((G164*E164),2)</f>
        <v>6395.24</v>
      </c>
    </row>
    <row r="165" spans="1:8" outlineLevel="1" x14ac:dyDescent="0.25">
      <c r="A165" s="92"/>
      <c r="B165" s="62"/>
      <c r="C165" s="63" t="s">
        <v>13</v>
      </c>
      <c r="D165" s="62"/>
      <c r="E165" s="64"/>
      <c r="F165" s="64"/>
      <c r="G165" s="65"/>
      <c r="H165" s="65">
        <f>SUM(H161:H164)</f>
        <v>33319.279999999999</v>
      </c>
    </row>
    <row r="166" spans="1:8" outlineLevel="1" x14ac:dyDescent="0.25">
      <c r="A166" s="123" t="s">
        <v>2868</v>
      </c>
      <c r="B166" s="123"/>
      <c r="C166" s="124" t="s">
        <v>2867</v>
      </c>
      <c r="D166" s="123"/>
      <c r="E166" s="125"/>
      <c r="F166" s="125"/>
      <c r="G166" s="127"/>
      <c r="H166" s="126"/>
    </row>
    <row r="167" spans="1:8" ht="31.5" outlineLevel="2" x14ac:dyDescent="0.25">
      <c r="A167" s="53" t="s">
        <v>2869</v>
      </c>
      <c r="B167" s="234">
        <v>93184</v>
      </c>
      <c r="C167" s="143" t="s">
        <v>492</v>
      </c>
      <c r="D167" s="135" t="s">
        <v>75</v>
      </c>
      <c r="E167" s="144">
        <v>12.8</v>
      </c>
      <c r="F167" s="145">
        <v>14.82</v>
      </c>
      <c r="G167" s="48">
        <f t="shared" ref="G167" si="59">TRUNC(F167*(1+$E$3),2)</f>
        <v>18.78</v>
      </c>
      <c r="H167" s="48">
        <f t="shared" ref="H167" si="60">TRUNC((G167*E167),2)</f>
        <v>240.38</v>
      </c>
    </row>
    <row r="168" spans="1:8" ht="31.5" outlineLevel="2" x14ac:dyDescent="0.25">
      <c r="A168" s="53" t="s">
        <v>2870</v>
      </c>
      <c r="B168" s="234">
        <v>93182</v>
      </c>
      <c r="C168" s="143" t="s">
        <v>490</v>
      </c>
      <c r="D168" s="135" t="s">
        <v>75</v>
      </c>
      <c r="E168" s="144">
        <v>6</v>
      </c>
      <c r="F168" s="145">
        <v>19.440000000000001</v>
      </c>
      <c r="G168" s="48">
        <f t="shared" ref="G168:G171" si="61">TRUNC(F168*(1+$E$3),2)</f>
        <v>24.63</v>
      </c>
      <c r="H168" s="48">
        <f t="shared" ref="H168:H171" si="62">TRUNC((G168*E168),2)</f>
        <v>147.78</v>
      </c>
    </row>
    <row r="169" spans="1:8" ht="31.5" outlineLevel="2" x14ac:dyDescent="0.25">
      <c r="A169" s="53" t="s">
        <v>2871</v>
      </c>
      <c r="B169" s="234">
        <v>93183</v>
      </c>
      <c r="C169" s="143" t="s">
        <v>491</v>
      </c>
      <c r="D169" s="135" t="s">
        <v>75</v>
      </c>
      <c r="E169" s="144">
        <v>19.2</v>
      </c>
      <c r="F169" s="145">
        <v>25.06</v>
      </c>
      <c r="G169" s="48">
        <f t="shared" si="61"/>
        <v>31.75</v>
      </c>
      <c r="H169" s="48">
        <f t="shared" si="62"/>
        <v>609.6</v>
      </c>
    </row>
    <row r="170" spans="1:8" ht="31.5" outlineLevel="2" x14ac:dyDescent="0.25">
      <c r="A170" s="53" t="s">
        <v>2872</v>
      </c>
      <c r="B170" s="234">
        <v>93194</v>
      </c>
      <c r="C170" s="143" t="s">
        <v>493</v>
      </c>
      <c r="D170" s="135" t="s">
        <v>75</v>
      </c>
      <c r="E170" s="144">
        <v>6</v>
      </c>
      <c r="F170" s="145">
        <v>19.22</v>
      </c>
      <c r="G170" s="48">
        <f t="shared" si="61"/>
        <v>24.35</v>
      </c>
      <c r="H170" s="48">
        <f t="shared" si="62"/>
        <v>146.1</v>
      </c>
    </row>
    <row r="171" spans="1:8" ht="31.5" outlineLevel="2" x14ac:dyDescent="0.25">
      <c r="A171" s="53" t="s">
        <v>2873</v>
      </c>
      <c r="B171" s="234">
        <v>93195</v>
      </c>
      <c r="C171" s="143" t="s">
        <v>494</v>
      </c>
      <c r="D171" s="135" t="s">
        <v>75</v>
      </c>
      <c r="E171" s="144">
        <v>19.2</v>
      </c>
      <c r="F171" s="145">
        <v>22.33</v>
      </c>
      <c r="G171" s="48">
        <f t="shared" si="61"/>
        <v>28.29</v>
      </c>
      <c r="H171" s="48">
        <f t="shared" si="62"/>
        <v>543.16</v>
      </c>
    </row>
    <row r="172" spans="1:8" outlineLevel="1" x14ac:dyDescent="0.25">
      <c r="A172" s="62"/>
      <c r="B172" s="62"/>
      <c r="C172" s="63" t="s">
        <v>13</v>
      </c>
      <c r="D172" s="62"/>
      <c r="E172" s="64"/>
      <c r="F172" s="64"/>
      <c r="G172" s="65"/>
      <c r="H172" s="65">
        <f>SUM(H167:H171)</f>
        <v>1687.02</v>
      </c>
    </row>
    <row r="173" spans="1:8" outlineLevel="1" x14ac:dyDescent="0.25">
      <c r="A173" s="123" t="s">
        <v>2874</v>
      </c>
      <c r="B173" s="123"/>
      <c r="C173" s="124" t="s">
        <v>2876</v>
      </c>
      <c r="D173" s="123"/>
      <c r="E173" s="126"/>
      <c r="F173" s="126"/>
      <c r="G173" s="127"/>
      <c r="H173" s="126"/>
    </row>
    <row r="174" spans="1:8" ht="78.75" outlineLevel="2" x14ac:dyDescent="0.25">
      <c r="A174" s="53" t="s">
        <v>2875</v>
      </c>
      <c r="B174" s="234">
        <v>89168</v>
      </c>
      <c r="C174" s="143" t="s">
        <v>300</v>
      </c>
      <c r="D174" s="135" t="s">
        <v>77</v>
      </c>
      <c r="E174" s="144">
        <v>436.75</v>
      </c>
      <c r="F174" s="145">
        <v>58.35</v>
      </c>
      <c r="G174" s="48">
        <f t="shared" ref="G174" si="63">TRUNC(F174*(1+$E$3),2)</f>
        <v>73.94</v>
      </c>
      <c r="H174" s="48">
        <f t="shared" ref="H174" si="64">TRUNC((G174*E174),2)</f>
        <v>32293.29</v>
      </c>
    </row>
    <row r="175" spans="1:8" outlineLevel="1" x14ac:dyDescent="0.25">
      <c r="A175" s="62"/>
      <c r="B175" s="62"/>
      <c r="C175" s="63" t="s">
        <v>13</v>
      </c>
      <c r="D175" s="62"/>
      <c r="E175" s="64"/>
      <c r="F175" s="64"/>
      <c r="G175" s="65"/>
      <c r="H175" s="65">
        <f>SUM(H174:H174)</f>
        <v>32293.29</v>
      </c>
    </row>
    <row r="176" spans="1:8" outlineLevel="1" x14ac:dyDescent="0.25">
      <c r="A176" s="123" t="s">
        <v>2879</v>
      </c>
      <c r="B176" s="123"/>
      <c r="C176" s="124" t="s">
        <v>2877</v>
      </c>
      <c r="D176" s="123"/>
      <c r="E176" s="126"/>
      <c r="F176" s="126"/>
      <c r="G176" s="127"/>
      <c r="H176" s="126"/>
    </row>
    <row r="177" spans="1:8" ht="78.75" outlineLevel="2" x14ac:dyDescent="0.25">
      <c r="A177" s="53" t="s">
        <v>2880</v>
      </c>
      <c r="B177" s="234">
        <v>87900</v>
      </c>
      <c r="C177" s="143" t="s">
        <v>511</v>
      </c>
      <c r="D177" s="135" t="s">
        <v>77</v>
      </c>
      <c r="E177" s="144">
        <v>868.31</v>
      </c>
      <c r="F177" s="145">
        <v>5.32</v>
      </c>
      <c r="G177" s="48">
        <f t="shared" ref="G177:G180" si="65">TRUNC(F177*(1+$E$3),2)</f>
        <v>6.74</v>
      </c>
      <c r="H177" s="48">
        <f t="shared" ref="H177:H180" si="66">TRUNC((G177*E177),2)</f>
        <v>5852.4</v>
      </c>
    </row>
    <row r="178" spans="1:8" ht="94.5" outlineLevel="2" x14ac:dyDescent="0.25">
      <c r="A178" s="53" t="s">
        <v>2881</v>
      </c>
      <c r="B178" s="234">
        <v>89173</v>
      </c>
      <c r="C178" s="143" t="s">
        <v>324</v>
      </c>
      <c r="D178" s="135" t="s">
        <v>77</v>
      </c>
      <c r="E178" s="144">
        <v>450.38</v>
      </c>
      <c r="F178" s="145">
        <v>23.25</v>
      </c>
      <c r="G178" s="48">
        <f t="shared" si="65"/>
        <v>29.46</v>
      </c>
      <c r="H178" s="48">
        <f t="shared" si="66"/>
        <v>13268.19</v>
      </c>
    </row>
    <row r="179" spans="1:8" ht="63" outlineLevel="2" x14ac:dyDescent="0.25">
      <c r="A179" s="53" t="s">
        <v>2882</v>
      </c>
      <c r="B179" s="234">
        <v>87882</v>
      </c>
      <c r="C179" s="143" t="s">
        <v>2723</v>
      </c>
      <c r="D179" s="135" t="s">
        <v>77</v>
      </c>
      <c r="E179" s="144">
        <v>120.28</v>
      </c>
      <c r="F179" s="145">
        <v>3.42</v>
      </c>
      <c r="G179" s="48">
        <f t="shared" si="65"/>
        <v>4.33</v>
      </c>
      <c r="H179" s="48">
        <f t="shared" si="66"/>
        <v>520.80999999999995</v>
      </c>
    </row>
    <row r="180" spans="1:8" ht="78.75" outlineLevel="2" x14ac:dyDescent="0.25">
      <c r="A180" s="53" t="s">
        <v>2883</v>
      </c>
      <c r="B180" s="234">
        <v>90408</v>
      </c>
      <c r="C180" s="143" t="s">
        <v>2724</v>
      </c>
      <c r="D180" s="135" t="s">
        <v>77</v>
      </c>
      <c r="E180" s="144">
        <v>120.28</v>
      </c>
      <c r="F180" s="145">
        <v>21.85</v>
      </c>
      <c r="G180" s="48">
        <f t="shared" si="65"/>
        <v>27.69</v>
      </c>
      <c r="H180" s="48">
        <f t="shared" si="66"/>
        <v>3330.55</v>
      </c>
    </row>
    <row r="181" spans="1:8" ht="94.5" outlineLevel="2" x14ac:dyDescent="0.25">
      <c r="A181" s="53" t="s">
        <v>2884</v>
      </c>
      <c r="B181" s="234">
        <v>87553</v>
      </c>
      <c r="C181" s="143" t="s">
        <v>2878</v>
      </c>
      <c r="D181" s="135" t="s">
        <v>77</v>
      </c>
      <c r="E181" s="144">
        <v>417.93</v>
      </c>
      <c r="F181" s="145">
        <v>11.64</v>
      </c>
      <c r="G181" s="48">
        <f t="shared" ref="G181:G183" si="67">TRUNC(F181*(1+$E$3),2)</f>
        <v>14.75</v>
      </c>
      <c r="H181" s="48">
        <f t="shared" ref="H181:H183" si="68">TRUNC((G181*E181),2)</f>
        <v>6164.46</v>
      </c>
    </row>
    <row r="182" spans="1:8" ht="94.5" outlineLevel="2" x14ac:dyDescent="0.25">
      <c r="A182" s="53" t="s">
        <v>2885</v>
      </c>
      <c r="B182" s="234">
        <v>89170</v>
      </c>
      <c r="C182" s="143" t="s">
        <v>1841</v>
      </c>
      <c r="D182" s="135" t="s">
        <v>77</v>
      </c>
      <c r="E182" s="144">
        <v>417.93</v>
      </c>
      <c r="F182" s="145">
        <v>49.41</v>
      </c>
      <c r="G182" s="48">
        <f t="shared" si="67"/>
        <v>62.61</v>
      </c>
      <c r="H182" s="48">
        <f t="shared" si="68"/>
        <v>26166.59</v>
      </c>
    </row>
    <row r="183" spans="1:8" ht="63" outlineLevel="2" x14ac:dyDescent="0.25">
      <c r="A183" s="53" t="s">
        <v>2886</v>
      </c>
      <c r="B183" s="234" t="s">
        <v>325</v>
      </c>
      <c r="C183" s="143" t="s">
        <v>512</v>
      </c>
      <c r="D183" s="135" t="s">
        <v>77</v>
      </c>
      <c r="E183" s="144">
        <v>27.32</v>
      </c>
      <c r="F183" s="145">
        <v>167.44</v>
      </c>
      <c r="G183" s="48">
        <f t="shared" si="67"/>
        <v>212.19</v>
      </c>
      <c r="H183" s="48">
        <f t="shared" si="68"/>
        <v>5797.03</v>
      </c>
    </row>
    <row r="184" spans="1:8" outlineLevel="1" x14ac:dyDescent="0.25">
      <c r="A184" s="92"/>
      <c r="B184" s="62"/>
      <c r="C184" s="63" t="s">
        <v>13</v>
      </c>
      <c r="D184" s="62"/>
      <c r="E184" s="64"/>
      <c r="F184" s="64"/>
      <c r="G184" s="65"/>
      <c r="H184" s="65">
        <f>SUM(H177:H183)</f>
        <v>61100.03</v>
      </c>
    </row>
    <row r="185" spans="1:8" outlineLevel="1" x14ac:dyDescent="0.25">
      <c r="A185" s="123" t="s">
        <v>2887</v>
      </c>
      <c r="B185" s="123"/>
      <c r="C185" s="124" t="s">
        <v>2889</v>
      </c>
      <c r="D185" s="123"/>
      <c r="E185" s="126"/>
      <c r="F185" s="126"/>
      <c r="G185" s="127"/>
      <c r="H185" s="126"/>
    </row>
    <row r="186" spans="1:8" ht="47.25" outlineLevel="2" x14ac:dyDescent="0.25">
      <c r="A186" s="135" t="s">
        <v>2888</v>
      </c>
      <c r="B186" s="234">
        <v>87261</v>
      </c>
      <c r="C186" s="143" t="s">
        <v>516</v>
      </c>
      <c r="D186" s="135" t="s">
        <v>77</v>
      </c>
      <c r="E186" s="144">
        <v>11.37</v>
      </c>
      <c r="F186" s="145">
        <v>96.19</v>
      </c>
      <c r="G186" s="48">
        <f t="shared" ref="G186" si="69">TRUNC(F186*(1+$E$3),2)</f>
        <v>121.9</v>
      </c>
      <c r="H186" s="48">
        <f t="shared" ref="H186" si="70">TRUNC((G186*E186),2)</f>
        <v>1386</v>
      </c>
    </row>
    <row r="187" spans="1:8" ht="47.25" outlineLevel="2" x14ac:dyDescent="0.25">
      <c r="A187" s="135" t="s">
        <v>2890</v>
      </c>
      <c r="B187" s="234">
        <v>87262</v>
      </c>
      <c r="C187" s="143" t="s">
        <v>515</v>
      </c>
      <c r="D187" s="135" t="s">
        <v>77</v>
      </c>
      <c r="E187" s="144">
        <v>19.079999999999998</v>
      </c>
      <c r="F187" s="145">
        <v>87.18</v>
      </c>
      <c r="G187" s="48">
        <f t="shared" ref="G187:G189" si="71">TRUNC(F187*(1+$E$3),2)</f>
        <v>110.48</v>
      </c>
      <c r="H187" s="48">
        <f t="shared" ref="H187:H189" si="72">TRUNC((G187*E187),2)</f>
        <v>2107.9499999999998</v>
      </c>
    </row>
    <row r="188" spans="1:8" ht="47.25" outlineLevel="2" x14ac:dyDescent="0.25">
      <c r="A188" s="135" t="s">
        <v>2891</v>
      </c>
      <c r="B188" s="234">
        <v>87263</v>
      </c>
      <c r="C188" s="143" t="s">
        <v>326</v>
      </c>
      <c r="D188" s="135" t="s">
        <v>77</v>
      </c>
      <c r="E188" s="144">
        <v>327.73</v>
      </c>
      <c r="F188" s="145">
        <v>81.58</v>
      </c>
      <c r="G188" s="48">
        <f t="shared" si="71"/>
        <v>103.38</v>
      </c>
      <c r="H188" s="48">
        <f t="shared" si="72"/>
        <v>33880.720000000001</v>
      </c>
    </row>
    <row r="189" spans="1:8" ht="47.25" outlineLevel="2" x14ac:dyDescent="0.25">
      <c r="A189" s="135" t="s">
        <v>2892</v>
      </c>
      <c r="B189" s="234" t="s">
        <v>2742</v>
      </c>
      <c r="C189" s="143" t="s">
        <v>2743</v>
      </c>
      <c r="D189" s="135" t="s">
        <v>75</v>
      </c>
      <c r="E189" s="144">
        <v>61.8</v>
      </c>
      <c r="F189" s="145">
        <v>78.900000000000006</v>
      </c>
      <c r="G189" s="48">
        <f t="shared" si="71"/>
        <v>99.98</v>
      </c>
      <c r="H189" s="48">
        <f t="shared" si="72"/>
        <v>6178.76</v>
      </c>
    </row>
    <row r="190" spans="1:8" outlineLevel="1" x14ac:dyDescent="0.25">
      <c r="A190" s="62"/>
      <c r="B190" s="62"/>
      <c r="C190" s="63" t="s">
        <v>13</v>
      </c>
      <c r="D190" s="62"/>
      <c r="E190" s="64"/>
      <c r="F190" s="64"/>
      <c r="G190" s="65"/>
      <c r="H190" s="65">
        <f>SUM(H186:H189)</f>
        <v>43553.43</v>
      </c>
    </row>
    <row r="191" spans="1:8" outlineLevel="1" x14ac:dyDescent="0.25">
      <c r="A191" s="123" t="s">
        <v>2893</v>
      </c>
      <c r="B191" s="123"/>
      <c r="C191" s="124" t="s">
        <v>2906</v>
      </c>
      <c r="D191" s="123"/>
      <c r="E191" s="126"/>
      <c r="F191" s="126"/>
      <c r="G191" s="127"/>
      <c r="H191" s="126"/>
    </row>
    <row r="192" spans="1:8" ht="31.5" outlineLevel="1" x14ac:dyDescent="0.25">
      <c r="A192" s="53" t="s">
        <v>2894</v>
      </c>
      <c r="B192" s="235">
        <v>88485</v>
      </c>
      <c r="C192" s="153" t="s">
        <v>349</v>
      </c>
      <c r="D192" s="135" t="s">
        <v>77</v>
      </c>
      <c r="E192" s="144">
        <v>346.11</v>
      </c>
      <c r="F192" s="145">
        <v>1.49</v>
      </c>
      <c r="G192" s="48">
        <f t="shared" ref="G192:G197" si="73">TRUNC(F192*(1+$E$3),2)</f>
        <v>1.88</v>
      </c>
      <c r="H192" s="48">
        <f t="shared" ref="H192:H197" si="74">TRUNC((G192*E192),2)</f>
        <v>650.67999999999995</v>
      </c>
    </row>
    <row r="193" spans="1:8" ht="31.5" outlineLevel="1" x14ac:dyDescent="0.25">
      <c r="A193" s="53" t="s">
        <v>2895</v>
      </c>
      <c r="B193" s="235" t="s">
        <v>518</v>
      </c>
      <c r="C193" s="153" t="s">
        <v>519</v>
      </c>
      <c r="D193" s="135" t="s">
        <v>77</v>
      </c>
      <c r="E193" s="144">
        <v>346.11</v>
      </c>
      <c r="F193" s="145">
        <v>12.88</v>
      </c>
      <c r="G193" s="48">
        <f t="shared" si="73"/>
        <v>16.32</v>
      </c>
      <c r="H193" s="48">
        <f t="shared" si="74"/>
        <v>5648.51</v>
      </c>
    </row>
    <row r="194" spans="1:8" ht="31.5" outlineLevel="1" x14ac:dyDescent="0.25">
      <c r="A194" s="53" t="s">
        <v>2896</v>
      </c>
      <c r="B194" s="235">
        <v>88482</v>
      </c>
      <c r="C194" s="153" t="s">
        <v>2762</v>
      </c>
      <c r="D194" s="135" t="s">
        <v>77</v>
      </c>
      <c r="E194" s="144">
        <v>120.28</v>
      </c>
      <c r="F194" s="145">
        <v>2.02</v>
      </c>
      <c r="G194" s="48">
        <f t="shared" si="73"/>
        <v>2.5499999999999998</v>
      </c>
      <c r="H194" s="48">
        <f t="shared" si="74"/>
        <v>306.70999999999998</v>
      </c>
    </row>
    <row r="195" spans="1:8" ht="31.5" outlineLevel="1" x14ac:dyDescent="0.25">
      <c r="A195" s="53" t="s">
        <v>2897</v>
      </c>
      <c r="B195" s="235">
        <v>88482</v>
      </c>
      <c r="C195" s="153" t="s">
        <v>2762</v>
      </c>
      <c r="D195" s="135" t="s">
        <v>77</v>
      </c>
      <c r="E195" s="144">
        <v>120.28</v>
      </c>
      <c r="F195" s="145">
        <v>2.02</v>
      </c>
      <c r="G195" s="48">
        <f t="shared" si="73"/>
        <v>2.5499999999999998</v>
      </c>
      <c r="H195" s="48">
        <f t="shared" si="74"/>
        <v>306.70999999999998</v>
      </c>
    </row>
    <row r="196" spans="1:8" ht="31.5" outlineLevel="1" x14ac:dyDescent="0.25">
      <c r="A196" s="53" t="s">
        <v>2898</v>
      </c>
      <c r="B196" s="235">
        <v>88489</v>
      </c>
      <c r="C196" s="153" t="s">
        <v>328</v>
      </c>
      <c r="D196" s="135" t="s">
        <v>77</v>
      </c>
      <c r="E196" s="144">
        <v>346.11</v>
      </c>
      <c r="F196" s="145">
        <v>9.7799999999999994</v>
      </c>
      <c r="G196" s="48">
        <f t="shared" si="73"/>
        <v>12.39</v>
      </c>
      <c r="H196" s="48">
        <f t="shared" si="74"/>
        <v>4288.3</v>
      </c>
    </row>
    <row r="197" spans="1:8" ht="31.5" outlineLevel="1" x14ac:dyDescent="0.25">
      <c r="A197" s="53" t="s">
        <v>2899</v>
      </c>
      <c r="B197" s="235">
        <v>88486</v>
      </c>
      <c r="C197" s="153" t="s">
        <v>2763</v>
      </c>
      <c r="D197" s="135" t="s">
        <v>77</v>
      </c>
      <c r="E197" s="144">
        <v>120.28</v>
      </c>
      <c r="F197" s="145">
        <v>8.6300000000000008</v>
      </c>
      <c r="G197" s="48">
        <f t="shared" si="73"/>
        <v>10.93</v>
      </c>
      <c r="H197" s="48">
        <f t="shared" si="74"/>
        <v>1314.66</v>
      </c>
    </row>
    <row r="198" spans="1:8" ht="31.5" outlineLevel="2" x14ac:dyDescent="0.25">
      <c r="A198" s="53" t="s">
        <v>2900</v>
      </c>
      <c r="B198" s="235" t="s">
        <v>2764</v>
      </c>
      <c r="C198" s="153" t="s">
        <v>2765</v>
      </c>
      <c r="D198" s="135" t="s">
        <v>77</v>
      </c>
      <c r="E198" s="144">
        <v>18.420000000000002</v>
      </c>
      <c r="F198" s="145">
        <v>11.93</v>
      </c>
      <c r="G198" s="48">
        <f t="shared" ref="G198" si="75">TRUNC(F198*(1+$E$3),2)</f>
        <v>15.11</v>
      </c>
      <c r="H198" s="48">
        <f t="shared" ref="H198" si="76">TRUNC((G198*E198),2)</f>
        <v>278.32</v>
      </c>
    </row>
    <row r="199" spans="1:8" ht="63" outlineLevel="2" x14ac:dyDescent="0.25">
      <c r="A199" s="53" t="s">
        <v>2901</v>
      </c>
      <c r="B199" s="235" t="s">
        <v>467</v>
      </c>
      <c r="C199" s="153" t="s">
        <v>521</v>
      </c>
      <c r="D199" s="135" t="s">
        <v>77</v>
      </c>
      <c r="E199" s="144">
        <v>55.44</v>
      </c>
      <c r="F199" s="145">
        <v>14.07</v>
      </c>
      <c r="G199" s="48">
        <f t="shared" ref="G199" si="77">TRUNC(F199*(1+$E$3),2)</f>
        <v>17.829999999999998</v>
      </c>
      <c r="H199" s="48">
        <f t="shared" ref="H199" si="78">TRUNC((G199*E199),2)</f>
        <v>988.49</v>
      </c>
    </row>
    <row r="200" spans="1:8" outlineLevel="1" x14ac:dyDescent="0.25">
      <c r="A200" s="62"/>
      <c r="B200" s="62"/>
      <c r="C200" s="63" t="s">
        <v>13</v>
      </c>
      <c r="D200" s="62"/>
      <c r="E200" s="64"/>
      <c r="F200" s="64"/>
      <c r="G200" s="65"/>
      <c r="H200" s="65">
        <f>SUM(H192:H199)</f>
        <v>13782.38</v>
      </c>
    </row>
    <row r="201" spans="1:8" ht="31.5" outlineLevel="1" x14ac:dyDescent="0.25">
      <c r="A201" s="123" t="s">
        <v>2902</v>
      </c>
      <c r="B201" s="123"/>
      <c r="C201" s="124" t="s">
        <v>2907</v>
      </c>
      <c r="D201" s="123"/>
      <c r="E201" s="126"/>
      <c r="F201" s="126"/>
      <c r="G201" s="127"/>
      <c r="H201" s="126"/>
    </row>
    <row r="202" spans="1:8" ht="47.25" outlineLevel="1" x14ac:dyDescent="0.25">
      <c r="A202" s="53" t="s">
        <v>2903</v>
      </c>
      <c r="B202" s="135" t="s">
        <v>2904</v>
      </c>
      <c r="C202" s="143" t="s">
        <v>2905</v>
      </c>
      <c r="D202" s="135" t="s">
        <v>77</v>
      </c>
      <c r="E202" s="144">
        <v>31.45</v>
      </c>
      <c r="F202" s="145">
        <v>106.96</v>
      </c>
      <c r="G202" s="48">
        <f t="shared" ref="G202:G205" si="79">TRUNC(F202*(1+$E$3),2)</f>
        <v>135.55000000000001</v>
      </c>
      <c r="H202" s="48">
        <f t="shared" ref="H202:H205" si="80">TRUNC((G202*E202),2)</f>
        <v>4263.04</v>
      </c>
    </row>
    <row r="203" spans="1:8" ht="47.25" outlineLevel="1" x14ac:dyDescent="0.25">
      <c r="A203" s="53" t="s">
        <v>2908</v>
      </c>
      <c r="B203" s="234" t="s">
        <v>348</v>
      </c>
      <c r="C203" s="143" t="s">
        <v>565</v>
      </c>
      <c r="D203" s="135" t="s">
        <v>52</v>
      </c>
      <c r="E203" s="144">
        <v>1</v>
      </c>
      <c r="F203" s="145">
        <v>4729.72</v>
      </c>
      <c r="G203" s="48">
        <f t="shared" si="79"/>
        <v>5993.97</v>
      </c>
      <c r="H203" s="48">
        <f t="shared" si="80"/>
        <v>5993.97</v>
      </c>
    </row>
    <row r="204" spans="1:8" ht="63" outlineLevel="1" x14ac:dyDescent="0.25">
      <c r="A204" s="53" t="s">
        <v>2909</v>
      </c>
      <c r="B204" s="135" t="s">
        <v>333</v>
      </c>
      <c r="C204" s="143" t="s">
        <v>566</v>
      </c>
      <c r="D204" s="135" t="s">
        <v>52</v>
      </c>
      <c r="E204" s="144">
        <v>1</v>
      </c>
      <c r="F204" s="145">
        <v>3261.73</v>
      </c>
      <c r="G204" s="48">
        <f t="shared" si="79"/>
        <v>4133.59</v>
      </c>
      <c r="H204" s="48">
        <f t="shared" si="80"/>
        <v>4133.59</v>
      </c>
    </row>
    <row r="205" spans="1:8" ht="31.5" outlineLevel="1" x14ac:dyDescent="0.25">
      <c r="A205" s="53" t="s">
        <v>2910</v>
      </c>
      <c r="B205" s="135" t="s">
        <v>459</v>
      </c>
      <c r="C205" s="143" t="s">
        <v>463</v>
      </c>
      <c r="D205" s="135" t="s">
        <v>52</v>
      </c>
      <c r="E205" s="144">
        <v>2</v>
      </c>
      <c r="F205" s="145">
        <v>233.71</v>
      </c>
      <c r="G205" s="48">
        <f t="shared" si="79"/>
        <v>296.18</v>
      </c>
      <c r="H205" s="48">
        <f t="shared" si="80"/>
        <v>592.36</v>
      </c>
    </row>
    <row r="206" spans="1:8" ht="31.5" outlineLevel="1" x14ac:dyDescent="0.25">
      <c r="A206" s="53" t="s">
        <v>2911</v>
      </c>
      <c r="B206" s="234">
        <v>85005</v>
      </c>
      <c r="C206" s="143" t="s">
        <v>546</v>
      </c>
      <c r="D206" s="135" t="s">
        <v>77</v>
      </c>
      <c r="E206" s="144">
        <v>0.5</v>
      </c>
      <c r="F206" s="145">
        <v>390.74</v>
      </c>
      <c r="G206" s="48">
        <f t="shared" ref="G206:G208" si="81">TRUNC(F206*(1+$E$3),2)</f>
        <v>495.18</v>
      </c>
      <c r="H206" s="48">
        <f t="shared" ref="H206:H208" si="82">TRUNC((G206*E206),2)</f>
        <v>247.59</v>
      </c>
    </row>
    <row r="207" spans="1:8" ht="31.5" outlineLevel="1" x14ac:dyDescent="0.25">
      <c r="A207" s="53" t="s">
        <v>2912</v>
      </c>
      <c r="B207" s="135" t="s">
        <v>568</v>
      </c>
      <c r="C207" s="143" t="s">
        <v>569</v>
      </c>
      <c r="D207" s="135" t="s">
        <v>75</v>
      </c>
      <c r="E207" s="144">
        <v>171.6</v>
      </c>
      <c r="F207" s="145">
        <v>35.15</v>
      </c>
      <c r="G207" s="48">
        <f t="shared" si="81"/>
        <v>44.54</v>
      </c>
      <c r="H207" s="48">
        <f t="shared" si="82"/>
        <v>7643.06</v>
      </c>
    </row>
    <row r="208" spans="1:8" ht="31.5" outlineLevel="2" x14ac:dyDescent="0.25">
      <c r="A208" s="53" t="s">
        <v>2913</v>
      </c>
      <c r="B208" s="234">
        <v>86957</v>
      </c>
      <c r="C208" s="143" t="s">
        <v>567</v>
      </c>
      <c r="D208" s="135" t="s">
        <v>52</v>
      </c>
      <c r="E208" s="144">
        <v>24</v>
      </c>
      <c r="F208" s="145">
        <v>29</v>
      </c>
      <c r="G208" s="48">
        <f t="shared" si="81"/>
        <v>36.75</v>
      </c>
      <c r="H208" s="48">
        <f t="shared" si="82"/>
        <v>882</v>
      </c>
    </row>
    <row r="209" spans="1:8" outlineLevel="1" x14ac:dyDescent="0.25">
      <c r="A209" s="92"/>
      <c r="B209" s="62"/>
      <c r="C209" s="63" t="s">
        <v>13</v>
      </c>
      <c r="D209" s="62"/>
      <c r="E209" s="64"/>
      <c r="F209" s="64"/>
      <c r="G209" s="65"/>
      <c r="H209" s="65">
        <f>SUM(H202:H208)</f>
        <v>23755.61</v>
      </c>
    </row>
    <row r="210" spans="1:8" outlineLevel="1" x14ac:dyDescent="0.25">
      <c r="A210" s="123" t="s">
        <v>2914</v>
      </c>
      <c r="B210" s="123"/>
      <c r="C210" s="124" t="s">
        <v>51</v>
      </c>
      <c r="D210" s="123"/>
      <c r="E210" s="126"/>
      <c r="F210" s="126"/>
      <c r="G210" s="127"/>
      <c r="H210" s="126"/>
    </row>
    <row r="211" spans="1:8" ht="63" outlineLevel="1" x14ac:dyDescent="0.25">
      <c r="A211" s="53" t="s">
        <v>2915</v>
      </c>
      <c r="B211" s="234">
        <v>94993</v>
      </c>
      <c r="C211" s="143" t="s">
        <v>570</v>
      </c>
      <c r="D211" s="135" t="s">
        <v>77</v>
      </c>
      <c r="E211" s="144">
        <v>98.4</v>
      </c>
      <c r="F211" s="145">
        <v>53.5</v>
      </c>
      <c r="G211" s="48">
        <f t="shared" ref="G211" si="83">TRUNC(F211*(1+$E$3),2)</f>
        <v>67.8</v>
      </c>
      <c r="H211" s="48">
        <f t="shared" ref="H211" si="84">TRUNC((G211*E211),2)</f>
        <v>6671.52</v>
      </c>
    </row>
    <row r="212" spans="1:8" outlineLevel="1" x14ac:dyDescent="0.25">
      <c r="A212" s="92"/>
      <c r="B212" s="62"/>
      <c r="C212" s="63" t="s">
        <v>13</v>
      </c>
      <c r="D212" s="62"/>
      <c r="E212" s="64"/>
      <c r="F212" s="64"/>
      <c r="G212" s="65"/>
      <c r="H212" s="65">
        <f>SUM(H211:H211)</f>
        <v>6671.52</v>
      </c>
    </row>
    <row r="213" spans="1:8" outlineLevel="1" x14ac:dyDescent="0.25">
      <c r="A213" s="123" t="s">
        <v>2917</v>
      </c>
      <c r="B213" s="123"/>
      <c r="C213" s="124" t="s">
        <v>2916</v>
      </c>
      <c r="D213" s="123"/>
      <c r="E213" s="126"/>
      <c r="F213" s="126"/>
      <c r="G213" s="127"/>
      <c r="H213" s="126"/>
    </row>
    <row r="214" spans="1:8" outlineLevel="1" x14ac:dyDescent="0.25">
      <c r="A214" s="135" t="s">
        <v>2918</v>
      </c>
      <c r="B214" s="234" t="s">
        <v>561</v>
      </c>
      <c r="C214" s="143" t="s">
        <v>562</v>
      </c>
      <c r="D214" s="135" t="s">
        <v>77</v>
      </c>
      <c r="E214" s="144">
        <v>11.2</v>
      </c>
      <c r="F214" s="145">
        <v>10.39</v>
      </c>
      <c r="G214" s="48">
        <f t="shared" ref="G214:G215" si="85">TRUNC(F214*(1+$E$3),2)</f>
        <v>13.16</v>
      </c>
      <c r="H214" s="48">
        <f t="shared" ref="H214:H215" si="86">TRUNC((G214*E214),2)</f>
        <v>147.38999999999999</v>
      </c>
    </row>
    <row r="215" spans="1:8" outlineLevel="1" x14ac:dyDescent="0.25">
      <c r="A215" s="135" t="s">
        <v>2923</v>
      </c>
      <c r="B215" s="234" t="s">
        <v>559</v>
      </c>
      <c r="C215" s="143" t="s">
        <v>560</v>
      </c>
      <c r="D215" s="135" t="s">
        <v>77</v>
      </c>
      <c r="E215" s="144">
        <v>445.25</v>
      </c>
      <c r="F215" s="145">
        <v>5.48</v>
      </c>
      <c r="G215" s="48">
        <f t="shared" si="85"/>
        <v>6.94</v>
      </c>
      <c r="H215" s="48">
        <f t="shared" si="86"/>
        <v>3090.03</v>
      </c>
    </row>
    <row r="216" spans="1:8" outlineLevel="1" x14ac:dyDescent="0.25">
      <c r="A216" s="135" t="s">
        <v>2924</v>
      </c>
      <c r="B216" s="234">
        <v>9537</v>
      </c>
      <c r="C216" s="143" t="s">
        <v>329</v>
      </c>
      <c r="D216" s="135" t="s">
        <v>77</v>
      </c>
      <c r="E216" s="144">
        <v>378.45</v>
      </c>
      <c r="F216" s="145">
        <v>2.09</v>
      </c>
      <c r="G216" s="48">
        <f t="shared" ref="G216" si="87">TRUNC(F216*(1+$E$3),2)</f>
        <v>2.64</v>
      </c>
      <c r="H216" s="48">
        <f t="shared" ref="H216" si="88">TRUNC((G216*E216),2)</f>
        <v>999.1</v>
      </c>
    </row>
    <row r="217" spans="1:8" outlineLevel="1" x14ac:dyDescent="0.25">
      <c r="A217" s="92"/>
      <c r="B217" s="62"/>
      <c r="C217" s="63" t="s">
        <v>13</v>
      </c>
      <c r="D217" s="62"/>
      <c r="E217" s="64"/>
      <c r="F217" s="64"/>
      <c r="G217" s="65"/>
      <c r="H217" s="65">
        <f>SUM(H214:H216)</f>
        <v>4236.5200000000004</v>
      </c>
    </row>
    <row r="218" spans="1:8" outlineLevel="1" x14ac:dyDescent="0.25">
      <c r="A218" s="123" t="s">
        <v>2919</v>
      </c>
      <c r="B218" s="123"/>
      <c r="C218" s="124" t="s">
        <v>2916</v>
      </c>
      <c r="D218" s="123"/>
      <c r="E218" s="126"/>
      <c r="F218" s="126"/>
      <c r="G218" s="127"/>
      <c r="H218" s="126"/>
    </row>
    <row r="219" spans="1:8" ht="47.25" outlineLevel="1" x14ac:dyDescent="0.25">
      <c r="A219" s="135" t="s">
        <v>2920</v>
      </c>
      <c r="B219" s="234">
        <v>94216</v>
      </c>
      <c r="C219" s="143" t="s">
        <v>387</v>
      </c>
      <c r="D219" s="135" t="s">
        <v>77</v>
      </c>
      <c r="E219" s="144">
        <v>1535.11</v>
      </c>
      <c r="F219" s="145">
        <v>103.68</v>
      </c>
      <c r="G219" s="48">
        <f t="shared" ref="G219" si="89">TRUNC(F219*(1+$E$3),2)</f>
        <v>131.38999999999999</v>
      </c>
      <c r="H219" s="48">
        <f t="shared" ref="H219" si="90">TRUNC((G219*E219),2)</f>
        <v>201698.1</v>
      </c>
    </row>
    <row r="220" spans="1:8" ht="47.25" outlineLevel="1" x14ac:dyDescent="0.25">
      <c r="A220" s="135" t="s">
        <v>2921</v>
      </c>
      <c r="B220" s="234">
        <v>94231</v>
      </c>
      <c r="C220" s="143" t="s">
        <v>2705</v>
      </c>
      <c r="D220" s="135" t="s">
        <v>75</v>
      </c>
      <c r="E220" s="144">
        <v>231.32</v>
      </c>
      <c r="F220" s="145">
        <v>30.74</v>
      </c>
      <c r="G220" s="48">
        <f t="shared" ref="G220:G221" si="91">TRUNC(F220*(1+$E$3),2)</f>
        <v>38.950000000000003</v>
      </c>
      <c r="H220" s="48">
        <f t="shared" ref="H220:H221" si="92">TRUNC((G220*E220),2)</f>
        <v>9009.91</v>
      </c>
    </row>
    <row r="221" spans="1:8" ht="47.25" outlineLevel="2" x14ac:dyDescent="0.25">
      <c r="A221" s="135" t="s">
        <v>2922</v>
      </c>
      <c r="B221" s="234">
        <v>94228</v>
      </c>
      <c r="C221" s="143" t="s">
        <v>2704</v>
      </c>
      <c r="D221" s="135" t="s">
        <v>75</v>
      </c>
      <c r="E221" s="144">
        <v>99.4</v>
      </c>
      <c r="F221" s="145">
        <v>56.42</v>
      </c>
      <c r="G221" s="48">
        <f t="shared" si="91"/>
        <v>71.5</v>
      </c>
      <c r="H221" s="48">
        <f t="shared" si="92"/>
        <v>7107.1</v>
      </c>
    </row>
    <row r="222" spans="1:8" outlineLevel="1" x14ac:dyDescent="0.25">
      <c r="A222" s="92"/>
      <c r="B222" s="62"/>
      <c r="C222" s="63" t="s">
        <v>13</v>
      </c>
      <c r="D222" s="62"/>
      <c r="E222" s="64"/>
      <c r="F222" s="64"/>
      <c r="G222" s="65"/>
      <c r="H222" s="65">
        <f>SUM(H219:H221)</f>
        <v>217815.11000000002</v>
      </c>
    </row>
    <row r="223" spans="1:8" x14ac:dyDescent="0.25">
      <c r="A223" s="119" t="s">
        <v>2925</v>
      </c>
      <c r="B223" s="119"/>
      <c r="C223" s="120" t="s">
        <v>2926</v>
      </c>
      <c r="D223" s="119"/>
      <c r="E223" s="55"/>
      <c r="F223" s="55"/>
      <c r="G223" s="56"/>
      <c r="H223" s="128"/>
    </row>
    <row r="224" spans="1:8" ht="63" x14ac:dyDescent="0.25">
      <c r="A224" s="53" t="s">
        <v>2927</v>
      </c>
      <c r="B224" s="135" t="s">
        <v>336</v>
      </c>
      <c r="C224" s="143" t="s">
        <v>337</v>
      </c>
      <c r="D224" s="135" t="s">
        <v>52</v>
      </c>
      <c r="E224" s="144">
        <v>4</v>
      </c>
      <c r="F224" s="145">
        <v>1198.92</v>
      </c>
      <c r="G224" s="48">
        <f t="shared" ref="G224:G225" si="93">TRUNC(F224*(1+$E$3),2)</f>
        <v>1519.39</v>
      </c>
      <c r="H224" s="48">
        <f t="shared" ref="H224:H225" si="94">TRUNC((G224*E224),2)</f>
        <v>6077.56</v>
      </c>
    </row>
    <row r="225" spans="1:8" ht="47.25" x14ac:dyDescent="0.25">
      <c r="A225" s="53" t="s">
        <v>2928</v>
      </c>
      <c r="B225" s="234">
        <v>91341</v>
      </c>
      <c r="C225" s="143" t="s">
        <v>330</v>
      </c>
      <c r="D225" s="135" t="s">
        <v>77</v>
      </c>
      <c r="E225" s="144">
        <v>10.199999999999999</v>
      </c>
      <c r="F225" s="145">
        <v>1027.1400000000001</v>
      </c>
      <c r="G225" s="48">
        <f t="shared" si="93"/>
        <v>1301.69</v>
      </c>
      <c r="H225" s="48">
        <f t="shared" si="94"/>
        <v>13277.23</v>
      </c>
    </row>
    <row r="226" spans="1:8" ht="47.25" x14ac:dyDescent="0.25">
      <c r="A226" s="53" t="s">
        <v>2929</v>
      </c>
      <c r="B226" s="234">
        <v>94575</v>
      </c>
      <c r="C226" s="143" t="s">
        <v>506</v>
      </c>
      <c r="D226" s="135" t="s">
        <v>77</v>
      </c>
      <c r="E226" s="144">
        <v>5.44</v>
      </c>
      <c r="F226" s="145">
        <v>839.52</v>
      </c>
      <c r="G226" s="48">
        <f t="shared" ref="G226" si="95">TRUNC(F226*(1+$E$3),2)</f>
        <v>1063.92</v>
      </c>
      <c r="H226" s="48">
        <f t="shared" ref="H226" si="96">TRUNC((G226*E226),2)</f>
        <v>5787.72</v>
      </c>
    </row>
    <row r="227" spans="1:8" x14ac:dyDescent="0.25">
      <c r="A227" s="62"/>
      <c r="B227" s="62"/>
      <c r="C227" s="63" t="s">
        <v>13</v>
      </c>
      <c r="D227" s="62"/>
      <c r="E227" s="64"/>
      <c r="F227" s="64"/>
      <c r="G227" s="64"/>
      <c r="H227" s="65">
        <f>SUM(H224:H226)</f>
        <v>25142.510000000002</v>
      </c>
    </row>
    <row r="228" spans="1:8" ht="15.75" customHeight="1" outlineLevel="1" x14ac:dyDescent="0.25">
      <c r="A228" s="119" t="s">
        <v>2931</v>
      </c>
      <c r="B228" s="119"/>
      <c r="C228" s="120" t="s">
        <v>2930</v>
      </c>
      <c r="D228" s="119"/>
      <c r="E228" s="55"/>
      <c r="F228" s="55"/>
      <c r="G228" s="56"/>
      <c r="H228" s="128"/>
    </row>
    <row r="229" spans="1:8" ht="15.75" customHeight="1" outlineLevel="1" x14ac:dyDescent="0.25">
      <c r="A229" s="53" t="s">
        <v>2932</v>
      </c>
      <c r="B229" s="234">
        <v>93182</v>
      </c>
      <c r="C229" s="143" t="s">
        <v>490</v>
      </c>
      <c r="D229" s="135" t="s">
        <v>75</v>
      </c>
      <c r="E229" s="144">
        <v>5.2</v>
      </c>
      <c r="F229" s="145">
        <v>19.440000000000001</v>
      </c>
      <c r="G229" s="48">
        <f t="shared" ref="G229" si="97">TRUNC(F229*(1+$E$3),2)</f>
        <v>24.63</v>
      </c>
      <c r="H229" s="48">
        <f t="shared" ref="H229" si="98">TRUNC((G229*E229),2)</f>
        <v>128.07</v>
      </c>
    </row>
    <row r="230" spans="1:8" ht="15.75" customHeight="1" outlineLevel="1" x14ac:dyDescent="0.25">
      <c r="A230" s="53" t="s">
        <v>2933</v>
      </c>
      <c r="B230" s="234">
        <v>93184</v>
      </c>
      <c r="C230" s="143" t="s">
        <v>492</v>
      </c>
      <c r="D230" s="135" t="s">
        <v>75</v>
      </c>
      <c r="E230" s="144">
        <v>2.4</v>
      </c>
      <c r="F230" s="145">
        <v>14.82</v>
      </c>
      <c r="G230" s="48">
        <f t="shared" ref="G230:G233" si="99">TRUNC(F230*(1+$E$3),2)</f>
        <v>18.78</v>
      </c>
      <c r="H230" s="48">
        <f t="shared" ref="H230:H233" si="100">TRUNC((G230*E230),2)</f>
        <v>45.07</v>
      </c>
    </row>
    <row r="231" spans="1:8" ht="15.75" customHeight="1" outlineLevel="1" x14ac:dyDescent="0.25">
      <c r="A231" s="53" t="s">
        <v>2934</v>
      </c>
      <c r="B231" s="234">
        <v>93183</v>
      </c>
      <c r="C231" s="143" t="s">
        <v>491</v>
      </c>
      <c r="D231" s="135" t="s">
        <v>75</v>
      </c>
      <c r="E231" s="144">
        <v>6.8</v>
      </c>
      <c r="F231" s="145">
        <v>25.06</v>
      </c>
      <c r="G231" s="48">
        <f t="shared" si="99"/>
        <v>31.75</v>
      </c>
      <c r="H231" s="48">
        <f t="shared" si="100"/>
        <v>215.9</v>
      </c>
    </row>
    <row r="232" spans="1:8" ht="15.75" customHeight="1" outlineLevel="1" x14ac:dyDescent="0.25">
      <c r="A232" s="53" t="s">
        <v>2935</v>
      </c>
      <c r="B232" s="234">
        <v>93194</v>
      </c>
      <c r="C232" s="143" t="s">
        <v>493</v>
      </c>
      <c r="D232" s="135" t="s">
        <v>75</v>
      </c>
      <c r="E232" s="144">
        <v>2.4</v>
      </c>
      <c r="F232" s="145">
        <v>19.22</v>
      </c>
      <c r="G232" s="48">
        <f t="shared" si="99"/>
        <v>24.35</v>
      </c>
      <c r="H232" s="48">
        <f t="shared" si="100"/>
        <v>58.44</v>
      </c>
    </row>
    <row r="233" spans="1:8" ht="15.75" customHeight="1" outlineLevel="1" x14ac:dyDescent="0.25">
      <c r="A233" s="53" t="s">
        <v>2936</v>
      </c>
      <c r="B233" s="234">
        <v>93195</v>
      </c>
      <c r="C233" s="143" t="s">
        <v>494</v>
      </c>
      <c r="D233" s="135" t="s">
        <v>75</v>
      </c>
      <c r="E233" s="144">
        <v>6.8</v>
      </c>
      <c r="F233" s="145">
        <v>22.33</v>
      </c>
      <c r="G233" s="48">
        <f t="shared" si="99"/>
        <v>28.29</v>
      </c>
      <c r="H233" s="48">
        <f t="shared" si="100"/>
        <v>192.37</v>
      </c>
    </row>
    <row r="234" spans="1:8" ht="15.75" customHeight="1" outlineLevel="1" x14ac:dyDescent="0.25">
      <c r="A234" s="62"/>
      <c r="B234" s="62"/>
      <c r="C234" s="63" t="s">
        <v>13</v>
      </c>
      <c r="D234" s="62"/>
      <c r="E234" s="64"/>
      <c r="F234" s="64"/>
      <c r="G234" s="64"/>
      <c r="H234" s="65">
        <f>SUM(H229:H233)</f>
        <v>639.84999999999991</v>
      </c>
    </row>
    <row r="235" spans="1:8" outlineLevel="1" x14ac:dyDescent="0.25">
      <c r="A235" s="123" t="s">
        <v>2937</v>
      </c>
      <c r="B235" s="123"/>
      <c r="C235" s="124" t="s">
        <v>2939</v>
      </c>
      <c r="D235" s="123"/>
      <c r="E235" s="125"/>
      <c r="F235" s="125"/>
      <c r="G235" s="56"/>
      <c r="H235" s="126"/>
    </row>
    <row r="236" spans="1:8" ht="78.75" outlineLevel="2" x14ac:dyDescent="0.25">
      <c r="A236" s="53" t="s">
        <v>2938</v>
      </c>
      <c r="B236" s="234">
        <v>89168</v>
      </c>
      <c r="C236" s="143" t="s">
        <v>300</v>
      </c>
      <c r="D236" s="135" t="s">
        <v>77</v>
      </c>
      <c r="E236" s="144">
        <v>1742.75</v>
      </c>
      <c r="F236" s="145">
        <v>58.35</v>
      </c>
      <c r="G236" s="48">
        <f t="shared" ref="G236" si="101">TRUNC(F236*(1+$E$3),2)</f>
        <v>73.94</v>
      </c>
      <c r="H236" s="48">
        <f t="shared" ref="H236" si="102">TRUNC((G236*E236),2)</f>
        <v>128858.93</v>
      </c>
    </row>
    <row r="237" spans="1:8" outlineLevel="1" x14ac:dyDescent="0.25">
      <c r="A237" s="62"/>
      <c r="B237" s="62"/>
      <c r="C237" s="63" t="s">
        <v>13</v>
      </c>
      <c r="D237" s="62"/>
      <c r="E237" s="64"/>
      <c r="F237" s="64"/>
      <c r="G237" s="65"/>
      <c r="H237" s="65">
        <f>SUM(H236:H236)</f>
        <v>128858.93</v>
      </c>
    </row>
    <row r="238" spans="1:8" outlineLevel="1" x14ac:dyDescent="0.25">
      <c r="A238" s="123" t="s">
        <v>2941</v>
      </c>
      <c r="B238" s="123"/>
      <c r="C238" s="124" t="s">
        <v>2940</v>
      </c>
      <c r="D238" s="123"/>
      <c r="E238" s="125"/>
      <c r="F238" s="125"/>
      <c r="G238" s="127"/>
      <c r="H238" s="126"/>
    </row>
    <row r="239" spans="1:8" ht="78.75" outlineLevel="2" x14ac:dyDescent="0.25">
      <c r="A239" s="53" t="s">
        <v>2942</v>
      </c>
      <c r="B239" s="234">
        <v>87900</v>
      </c>
      <c r="C239" s="143" t="s">
        <v>511</v>
      </c>
      <c r="D239" s="135" t="s">
        <v>77</v>
      </c>
      <c r="E239" s="144">
        <v>3813.55</v>
      </c>
      <c r="F239" s="145">
        <v>5.32</v>
      </c>
      <c r="G239" s="48">
        <f t="shared" ref="G239" si="103">TRUNC(F239*(1+$E$3),2)</f>
        <v>6.74</v>
      </c>
      <c r="H239" s="48">
        <f t="shared" ref="H239" si="104">TRUNC((G239*E239),2)</f>
        <v>25703.32</v>
      </c>
    </row>
    <row r="240" spans="1:8" ht="94.5" outlineLevel="2" x14ac:dyDescent="0.25">
      <c r="A240" s="53" t="s">
        <v>2943</v>
      </c>
      <c r="B240" s="234">
        <v>89173</v>
      </c>
      <c r="C240" s="153" t="s">
        <v>324</v>
      </c>
      <c r="D240" s="135" t="s">
        <v>77</v>
      </c>
      <c r="E240" s="144">
        <v>3607.6</v>
      </c>
      <c r="F240" s="145">
        <v>23.25</v>
      </c>
      <c r="G240" s="48">
        <f t="shared" ref="G240:G243" si="105">TRUNC(F240*(1+$E$3),2)</f>
        <v>29.46</v>
      </c>
      <c r="H240" s="48">
        <f t="shared" ref="H240:H243" si="106">TRUNC((G240*E240),2)</f>
        <v>106279.89</v>
      </c>
    </row>
    <row r="241" spans="1:8" ht="94.5" outlineLevel="2" x14ac:dyDescent="0.25">
      <c r="A241" s="53" t="s">
        <v>2944</v>
      </c>
      <c r="B241" s="234">
        <v>87553</v>
      </c>
      <c r="C241" s="143" t="s">
        <v>2878</v>
      </c>
      <c r="D241" s="135" t="s">
        <v>77</v>
      </c>
      <c r="E241" s="144">
        <v>205.95</v>
      </c>
      <c r="F241" s="145">
        <v>11.64</v>
      </c>
      <c r="G241" s="48">
        <f t="shared" si="105"/>
        <v>14.75</v>
      </c>
      <c r="H241" s="48">
        <f t="shared" si="106"/>
        <v>3037.76</v>
      </c>
    </row>
    <row r="242" spans="1:8" ht="94.5" outlineLevel="2" x14ac:dyDescent="0.25">
      <c r="A242" s="53" t="s">
        <v>2945</v>
      </c>
      <c r="B242" s="234">
        <v>89170</v>
      </c>
      <c r="C242" s="153" t="s">
        <v>1841</v>
      </c>
      <c r="D242" s="135" t="s">
        <v>77</v>
      </c>
      <c r="E242" s="144">
        <v>205.95</v>
      </c>
      <c r="F242" s="145">
        <v>49.41</v>
      </c>
      <c r="G242" s="48">
        <f t="shared" si="105"/>
        <v>62.61</v>
      </c>
      <c r="H242" s="48">
        <f t="shared" si="106"/>
        <v>12894.52</v>
      </c>
    </row>
    <row r="243" spans="1:8" ht="63" outlineLevel="2" x14ac:dyDescent="0.25">
      <c r="A243" s="53" t="s">
        <v>2946</v>
      </c>
      <c r="B243" s="234">
        <v>87242</v>
      </c>
      <c r="C243" s="143" t="s">
        <v>1813</v>
      </c>
      <c r="D243" s="135" t="s">
        <v>77</v>
      </c>
      <c r="E243" s="144">
        <v>104.93</v>
      </c>
      <c r="F243" s="145">
        <v>167.44</v>
      </c>
      <c r="G243" s="48">
        <f t="shared" si="105"/>
        <v>212.19</v>
      </c>
      <c r="H243" s="48">
        <f t="shared" si="106"/>
        <v>22265.09</v>
      </c>
    </row>
    <row r="244" spans="1:8" outlineLevel="1" x14ac:dyDescent="0.25">
      <c r="A244" s="62"/>
      <c r="B244" s="62"/>
      <c r="C244" s="63" t="s">
        <v>13</v>
      </c>
      <c r="D244" s="62"/>
      <c r="E244" s="64"/>
      <c r="F244" s="64"/>
      <c r="G244" s="65"/>
      <c r="H244" s="65">
        <f>SUM(H239:H243)</f>
        <v>170180.58</v>
      </c>
    </row>
    <row r="245" spans="1:8" outlineLevel="1" x14ac:dyDescent="0.25">
      <c r="A245" s="123" t="s">
        <v>2948</v>
      </c>
      <c r="B245" s="123"/>
      <c r="C245" s="124" t="s">
        <v>2947</v>
      </c>
      <c r="D245" s="123"/>
      <c r="E245" s="126"/>
      <c r="F245" s="126"/>
      <c r="G245" s="127"/>
      <c r="H245" s="126"/>
    </row>
    <row r="246" spans="1:8" ht="47.25" outlineLevel="1" x14ac:dyDescent="0.25">
      <c r="A246" s="53" t="s">
        <v>2949</v>
      </c>
      <c r="B246" s="234">
        <v>87262</v>
      </c>
      <c r="C246" s="143" t="s">
        <v>515</v>
      </c>
      <c r="D246" s="135" t="s">
        <v>77</v>
      </c>
      <c r="E246" s="144">
        <v>53.26</v>
      </c>
      <c r="F246" s="145">
        <v>87.18</v>
      </c>
      <c r="G246" s="48">
        <f t="shared" ref="G246" si="107">TRUNC(F246*(1+$E$3),2)</f>
        <v>110.48</v>
      </c>
      <c r="H246" s="48">
        <f t="shared" ref="H246" si="108">TRUNC((G246*E246),2)</f>
        <v>5884.16</v>
      </c>
    </row>
    <row r="247" spans="1:8" ht="47.25" outlineLevel="1" x14ac:dyDescent="0.25">
      <c r="A247" s="53" t="s">
        <v>2950</v>
      </c>
      <c r="B247" s="135" t="s">
        <v>2742</v>
      </c>
      <c r="C247" s="143" t="s">
        <v>2743</v>
      </c>
      <c r="D247" s="135" t="s">
        <v>75</v>
      </c>
      <c r="E247" s="144">
        <v>6.6</v>
      </c>
      <c r="F247" s="145">
        <v>78.900000000000006</v>
      </c>
      <c r="G247" s="48">
        <f t="shared" ref="G247" si="109">TRUNC(F247*(1+$E$3),2)</f>
        <v>99.98</v>
      </c>
      <c r="H247" s="48">
        <f t="shared" ref="H247" si="110">TRUNC((G247*E247),2)</f>
        <v>659.86</v>
      </c>
    </row>
    <row r="248" spans="1:8" outlineLevel="1" x14ac:dyDescent="0.25">
      <c r="A248" s="92"/>
      <c r="B248" s="62"/>
      <c r="C248" s="63" t="s">
        <v>13</v>
      </c>
      <c r="D248" s="62"/>
      <c r="E248" s="64"/>
      <c r="F248" s="64"/>
      <c r="G248" s="65"/>
      <c r="H248" s="65">
        <f>SUM(H246:H247)</f>
        <v>6544.0199999999995</v>
      </c>
    </row>
    <row r="249" spans="1:8" outlineLevel="1" x14ac:dyDescent="0.25">
      <c r="A249" s="123" t="s">
        <v>2951</v>
      </c>
      <c r="B249" s="123"/>
      <c r="C249" s="124" t="s">
        <v>70</v>
      </c>
      <c r="D249" s="123"/>
      <c r="E249" s="126"/>
      <c r="F249" s="126"/>
      <c r="G249" s="127"/>
      <c r="H249" s="126"/>
    </row>
    <row r="250" spans="1:8" ht="47.25" outlineLevel="1" x14ac:dyDescent="0.25">
      <c r="A250" s="53" t="s">
        <v>2952</v>
      </c>
      <c r="B250" s="234">
        <v>96116</v>
      </c>
      <c r="C250" s="143" t="s">
        <v>551</v>
      </c>
      <c r="D250" s="135" t="s">
        <v>77</v>
      </c>
      <c r="E250" s="144">
        <v>53.26</v>
      </c>
      <c r="F250" s="145">
        <v>36.6</v>
      </c>
      <c r="G250" s="48">
        <f t="shared" ref="G250" si="111">TRUNC(F250*(1+$E$3),2)</f>
        <v>46.38</v>
      </c>
      <c r="H250" s="48">
        <f t="shared" ref="H250" si="112">TRUNC((G250*E250),2)</f>
        <v>2470.19</v>
      </c>
    </row>
    <row r="251" spans="1:8" ht="47.25" outlineLevel="1" x14ac:dyDescent="0.25">
      <c r="A251" s="53" t="s">
        <v>2953</v>
      </c>
      <c r="B251" s="135" t="s">
        <v>552</v>
      </c>
      <c r="C251" s="143" t="s">
        <v>553</v>
      </c>
      <c r="D251" s="135" t="s">
        <v>77</v>
      </c>
      <c r="E251" s="144">
        <v>17.53</v>
      </c>
      <c r="F251" s="145">
        <v>568.29999999999995</v>
      </c>
      <c r="G251" s="48">
        <f t="shared" ref="G251" si="113">TRUNC(F251*(1+$E$3),2)</f>
        <v>720.2</v>
      </c>
      <c r="H251" s="48">
        <f t="shared" ref="H251" si="114">TRUNC((G251*E251),2)</f>
        <v>12625.1</v>
      </c>
    </row>
    <row r="252" spans="1:8" outlineLevel="2" x14ac:dyDescent="0.25">
      <c r="A252" s="53"/>
      <c r="B252" s="135"/>
      <c r="C252" s="155" t="s">
        <v>13</v>
      </c>
      <c r="D252" s="135"/>
      <c r="E252" s="144"/>
      <c r="F252" s="145"/>
      <c r="G252" s="145"/>
      <c r="H252" s="157">
        <f>SUM(H250:H251)</f>
        <v>15095.29</v>
      </c>
    </row>
    <row r="253" spans="1:8" outlineLevel="1" x14ac:dyDescent="0.25">
      <c r="A253" s="123" t="s">
        <v>2954</v>
      </c>
      <c r="B253" s="123"/>
      <c r="C253" s="124" t="s">
        <v>2967</v>
      </c>
      <c r="D253" s="123"/>
      <c r="E253" s="126"/>
      <c r="F253" s="126"/>
      <c r="G253" s="127"/>
      <c r="H253" s="126"/>
    </row>
    <row r="254" spans="1:8" ht="31.5" outlineLevel="1" x14ac:dyDescent="0.25">
      <c r="A254" s="53" t="s">
        <v>2955</v>
      </c>
      <c r="B254" s="234">
        <v>88485</v>
      </c>
      <c r="C254" s="143" t="s">
        <v>349</v>
      </c>
      <c r="D254" s="135" t="s">
        <v>77</v>
      </c>
      <c r="E254" s="144">
        <v>1665.38</v>
      </c>
      <c r="F254" s="145">
        <v>1.49</v>
      </c>
      <c r="G254" s="48">
        <f t="shared" ref="G254" si="115">TRUNC(F254*(1+$E$3),2)</f>
        <v>1.88</v>
      </c>
      <c r="H254" s="48">
        <f t="shared" ref="H254" si="116">TRUNC((G254*E254),2)</f>
        <v>3130.91</v>
      </c>
    </row>
    <row r="255" spans="1:8" ht="31.5" outlineLevel="1" x14ac:dyDescent="0.25">
      <c r="A255" s="53" t="s">
        <v>2956</v>
      </c>
      <c r="B255" s="135" t="s">
        <v>518</v>
      </c>
      <c r="C255" s="143" t="s">
        <v>519</v>
      </c>
      <c r="D255" s="135" t="s">
        <v>77</v>
      </c>
      <c r="E255" s="144">
        <v>3291.56</v>
      </c>
      <c r="F255" s="145">
        <v>12.88</v>
      </c>
      <c r="G255" s="48">
        <f t="shared" ref="G255:G261" si="117">TRUNC(F255*(1+$E$3),2)</f>
        <v>16.32</v>
      </c>
      <c r="H255" s="48">
        <f t="shared" ref="H255:H261" si="118">TRUNC((G255*E255),2)</f>
        <v>53718.25</v>
      </c>
    </row>
    <row r="256" spans="1:8" ht="31.5" outlineLevel="1" x14ac:dyDescent="0.25">
      <c r="A256" s="53" t="s">
        <v>2957</v>
      </c>
      <c r="B256" s="234">
        <v>88489</v>
      </c>
      <c r="C256" s="143" t="s">
        <v>328</v>
      </c>
      <c r="D256" s="135" t="s">
        <v>77</v>
      </c>
      <c r="E256" s="144">
        <v>2963.95</v>
      </c>
      <c r="F256" s="145">
        <v>9.7799999999999994</v>
      </c>
      <c r="G256" s="48">
        <f t="shared" si="117"/>
        <v>12.39</v>
      </c>
      <c r="H256" s="48">
        <f t="shared" si="118"/>
        <v>36723.339999999997</v>
      </c>
    </row>
    <row r="257" spans="1:8" ht="31.5" outlineLevel="1" x14ac:dyDescent="0.25">
      <c r="A257" s="53" t="s">
        <v>2958</v>
      </c>
      <c r="B257" s="234">
        <v>88486</v>
      </c>
      <c r="C257" s="143" t="s">
        <v>2763</v>
      </c>
      <c r="D257" s="135" t="s">
        <v>77</v>
      </c>
      <c r="E257" s="144">
        <v>53.26</v>
      </c>
      <c r="F257" s="145">
        <v>8.6300000000000008</v>
      </c>
      <c r="G257" s="48">
        <f t="shared" si="117"/>
        <v>10.93</v>
      </c>
      <c r="H257" s="48">
        <f t="shared" si="118"/>
        <v>582.13</v>
      </c>
    </row>
    <row r="258" spans="1:8" ht="31.5" outlineLevel="1" x14ac:dyDescent="0.25">
      <c r="A258" s="53" t="s">
        <v>2959</v>
      </c>
      <c r="B258" s="234" t="s">
        <v>2764</v>
      </c>
      <c r="C258" s="143" t="s">
        <v>2765</v>
      </c>
      <c r="D258" s="135" t="s">
        <v>77</v>
      </c>
      <c r="E258" s="144">
        <v>141.78</v>
      </c>
      <c r="F258" s="145">
        <v>11.93</v>
      </c>
      <c r="G258" s="48">
        <f t="shared" ref="G258:G259" si="119">TRUNC(F258*(1+$E$3),2)</f>
        <v>15.11</v>
      </c>
      <c r="H258" s="48">
        <f t="shared" ref="H258:H259" si="120">TRUNC((G258*E258),2)</f>
        <v>2142.29</v>
      </c>
    </row>
    <row r="259" spans="1:8" ht="47.25" outlineLevel="1" x14ac:dyDescent="0.25">
      <c r="A259" s="53" t="s">
        <v>2960</v>
      </c>
      <c r="B259" s="234" t="s">
        <v>2963</v>
      </c>
      <c r="C259" s="143" t="s">
        <v>2964</v>
      </c>
      <c r="D259" s="135" t="s">
        <v>77</v>
      </c>
      <c r="E259" s="144">
        <v>301.89</v>
      </c>
      <c r="F259" s="145">
        <v>16.260000000000002</v>
      </c>
      <c r="G259" s="48">
        <f t="shared" si="119"/>
        <v>20.6</v>
      </c>
      <c r="H259" s="48">
        <f t="shared" si="120"/>
        <v>6218.93</v>
      </c>
    </row>
    <row r="260" spans="1:8" ht="47.25" outlineLevel="2" x14ac:dyDescent="0.25">
      <c r="A260" s="53" t="s">
        <v>2961</v>
      </c>
      <c r="B260" s="234" t="s">
        <v>2965</v>
      </c>
      <c r="C260" s="143" t="s">
        <v>2966</v>
      </c>
      <c r="D260" s="135" t="s">
        <v>77</v>
      </c>
      <c r="E260" s="144">
        <v>25.73</v>
      </c>
      <c r="F260" s="145">
        <v>17.73</v>
      </c>
      <c r="G260" s="48">
        <f t="shared" si="117"/>
        <v>22.46</v>
      </c>
      <c r="H260" s="48">
        <f t="shared" si="118"/>
        <v>577.89</v>
      </c>
    </row>
    <row r="261" spans="1:8" ht="63" outlineLevel="2" x14ac:dyDescent="0.25">
      <c r="A261" s="53" t="s">
        <v>2962</v>
      </c>
      <c r="B261" s="234" t="s">
        <v>467</v>
      </c>
      <c r="C261" s="143" t="s">
        <v>521</v>
      </c>
      <c r="D261" s="135" t="s">
        <v>77</v>
      </c>
      <c r="E261" s="144">
        <v>22.68</v>
      </c>
      <c r="F261" s="145">
        <v>14.07</v>
      </c>
      <c r="G261" s="48">
        <f t="shared" si="117"/>
        <v>17.829999999999998</v>
      </c>
      <c r="H261" s="48">
        <f t="shared" si="118"/>
        <v>404.38</v>
      </c>
    </row>
    <row r="262" spans="1:8" outlineLevel="1" x14ac:dyDescent="0.25">
      <c r="A262" s="62"/>
      <c r="B262" s="62"/>
      <c r="C262" s="63" t="s">
        <v>13</v>
      </c>
      <c r="D262" s="62"/>
      <c r="E262" s="64"/>
      <c r="F262" s="64"/>
      <c r="G262" s="65"/>
      <c r="H262" s="65">
        <f>SUM(H254:H261)</f>
        <v>103498.12000000001</v>
      </c>
    </row>
    <row r="263" spans="1:8" ht="31.5" outlineLevel="1" x14ac:dyDescent="0.25">
      <c r="A263" s="123" t="s">
        <v>2968</v>
      </c>
      <c r="B263" s="123"/>
      <c r="C263" s="124" t="s">
        <v>2969</v>
      </c>
      <c r="D263" s="123"/>
      <c r="E263" s="126"/>
      <c r="F263" s="126"/>
      <c r="G263" s="127"/>
      <c r="H263" s="126"/>
    </row>
    <row r="264" spans="1:8" outlineLevel="1" x14ac:dyDescent="0.25">
      <c r="A264" s="53" t="s">
        <v>2972</v>
      </c>
      <c r="B264" s="234" t="s">
        <v>544</v>
      </c>
      <c r="C264" s="143" t="s">
        <v>545</v>
      </c>
      <c r="D264" s="135" t="s">
        <v>77</v>
      </c>
      <c r="E264" s="144">
        <v>2.33</v>
      </c>
      <c r="F264" s="145">
        <v>490.28</v>
      </c>
      <c r="G264" s="48">
        <f t="shared" ref="G264:G271" si="121">TRUNC(F264*(1+$E$3),2)</f>
        <v>621.33000000000004</v>
      </c>
      <c r="H264" s="48">
        <f t="shared" ref="H264:H271" si="122">TRUNC((G264*E264),2)</f>
        <v>1447.69</v>
      </c>
    </row>
    <row r="265" spans="1:8" ht="31.5" outlineLevel="1" x14ac:dyDescent="0.25">
      <c r="A265" s="53" t="s">
        <v>2973</v>
      </c>
      <c r="B265" s="234">
        <v>85005</v>
      </c>
      <c r="C265" s="143" t="s">
        <v>546</v>
      </c>
      <c r="D265" s="135" t="s">
        <v>77</v>
      </c>
      <c r="E265" s="144">
        <v>1.49</v>
      </c>
      <c r="F265" s="145">
        <v>390.74</v>
      </c>
      <c r="G265" s="48">
        <f t="shared" si="121"/>
        <v>495.18</v>
      </c>
      <c r="H265" s="48">
        <f t="shared" si="122"/>
        <v>737.81</v>
      </c>
    </row>
    <row r="266" spans="1:8" ht="31.5" outlineLevel="1" x14ac:dyDescent="0.25">
      <c r="A266" s="53" t="s">
        <v>2974</v>
      </c>
      <c r="B266" s="234" t="s">
        <v>547</v>
      </c>
      <c r="C266" s="143" t="s">
        <v>548</v>
      </c>
      <c r="D266" s="135" t="s">
        <v>52</v>
      </c>
      <c r="E266" s="144">
        <v>18</v>
      </c>
      <c r="F266" s="145">
        <v>238.9</v>
      </c>
      <c r="G266" s="48">
        <f t="shared" si="121"/>
        <v>302.75</v>
      </c>
      <c r="H266" s="48">
        <f t="shared" si="122"/>
        <v>5449.5</v>
      </c>
    </row>
    <row r="267" spans="1:8" ht="31.5" outlineLevel="1" x14ac:dyDescent="0.25">
      <c r="A267" s="53" t="s">
        <v>2975</v>
      </c>
      <c r="B267" s="234" t="s">
        <v>541</v>
      </c>
      <c r="C267" s="143" t="s">
        <v>542</v>
      </c>
      <c r="D267" s="135" t="s">
        <v>52</v>
      </c>
      <c r="E267" s="144">
        <v>8</v>
      </c>
      <c r="F267" s="145">
        <v>145.43</v>
      </c>
      <c r="G267" s="48">
        <f t="shared" si="121"/>
        <v>184.3</v>
      </c>
      <c r="H267" s="48">
        <f t="shared" si="122"/>
        <v>1474.4</v>
      </c>
    </row>
    <row r="268" spans="1:8" ht="47.25" outlineLevel="1" x14ac:dyDescent="0.25">
      <c r="A268" s="53" t="s">
        <v>2976</v>
      </c>
      <c r="B268" s="234" t="s">
        <v>549</v>
      </c>
      <c r="C268" s="143" t="s">
        <v>550</v>
      </c>
      <c r="D268" s="135" t="s">
        <v>52</v>
      </c>
      <c r="E268" s="144">
        <v>2</v>
      </c>
      <c r="F268" s="145">
        <v>290</v>
      </c>
      <c r="G268" s="48">
        <f t="shared" si="121"/>
        <v>367.51</v>
      </c>
      <c r="H268" s="48">
        <f t="shared" si="122"/>
        <v>735.02</v>
      </c>
    </row>
    <row r="269" spans="1:8" ht="47.25" outlineLevel="1" x14ac:dyDescent="0.25">
      <c r="A269" s="53" t="s">
        <v>2977</v>
      </c>
      <c r="B269" s="135" t="s">
        <v>415</v>
      </c>
      <c r="C269" s="143" t="s">
        <v>416</v>
      </c>
      <c r="D269" s="135" t="s">
        <v>52</v>
      </c>
      <c r="E269" s="144">
        <v>48</v>
      </c>
      <c r="F269" s="145">
        <v>180</v>
      </c>
      <c r="G269" s="48">
        <f t="shared" si="121"/>
        <v>228.11</v>
      </c>
      <c r="H269" s="48">
        <f t="shared" si="122"/>
        <v>10949.28</v>
      </c>
    </row>
    <row r="270" spans="1:8" ht="31.5" outlineLevel="1" x14ac:dyDescent="0.25">
      <c r="A270" s="53" t="s">
        <v>2978</v>
      </c>
      <c r="B270" s="234" t="s">
        <v>534</v>
      </c>
      <c r="C270" s="143" t="s">
        <v>535</v>
      </c>
      <c r="D270" s="135" t="s">
        <v>77</v>
      </c>
      <c r="E270" s="144">
        <v>936.65</v>
      </c>
      <c r="F270" s="145">
        <v>13.62</v>
      </c>
      <c r="G270" s="48">
        <f t="shared" si="121"/>
        <v>17.260000000000002</v>
      </c>
      <c r="H270" s="48">
        <f t="shared" si="122"/>
        <v>16166.57</v>
      </c>
    </row>
    <row r="271" spans="1:8" ht="31.5" outlineLevel="1" x14ac:dyDescent="0.25">
      <c r="A271" s="53" t="s">
        <v>2979</v>
      </c>
      <c r="B271" s="234" t="s">
        <v>532</v>
      </c>
      <c r="C271" s="143" t="s">
        <v>533</v>
      </c>
      <c r="D271" s="135" t="s">
        <v>9</v>
      </c>
      <c r="E271" s="144">
        <v>419.98</v>
      </c>
      <c r="F271" s="145">
        <v>14.2</v>
      </c>
      <c r="G271" s="48">
        <f t="shared" si="121"/>
        <v>17.989999999999998</v>
      </c>
      <c r="H271" s="48">
        <f t="shared" si="122"/>
        <v>7555.44</v>
      </c>
    </row>
    <row r="272" spans="1:8" ht="31.5" outlineLevel="1" x14ac:dyDescent="0.25">
      <c r="A272" s="53" t="s">
        <v>2980</v>
      </c>
      <c r="B272" s="234">
        <v>41595</v>
      </c>
      <c r="C272" s="143" t="s">
        <v>350</v>
      </c>
      <c r="D272" s="135" t="s">
        <v>75</v>
      </c>
      <c r="E272" s="144">
        <v>402.3</v>
      </c>
      <c r="F272" s="145">
        <v>9.1</v>
      </c>
      <c r="G272" s="48">
        <f t="shared" ref="G272:G273" si="123">TRUNC(F272*(1+$E$3),2)</f>
        <v>11.53</v>
      </c>
      <c r="H272" s="48">
        <f t="shared" ref="H272:H273" si="124">TRUNC((G272*E272),2)</f>
        <v>4638.51</v>
      </c>
    </row>
    <row r="273" spans="1:8" ht="47.25" outlineLevel="1" x14ac:dyDescent="0.25">
      <c r="A273" s="53" t="s">
        <v>2981</v>
      </c>
      <c r="B273" s="234" t="s">
        <v>524</v>
      </c>
      <c r="C273" s="143" t="s">
        <v>525</v>
      </c>
      <c r="D273" s="135" t="s">
        <v>152</v>
      </c>
      <c r="E273" s="144">
        <v>1</v>
      </c>
      <c r="F273" s="145">
        <v>1261.69</v>
      </c>
      <c r="G273" s="48">
        <f t="shared" si="123"/>
        <v>1598.93</v>
      </c>
      <c r="H273" s="48">
        <f t="shared" si="124"/>
        <v>1598.93</v>
      </c>
    </row>
    <row r="274" spans="1:8" ht="47.25" outlineLevel="1" x14ac:dyDescent="0.25">
      <c r="A274" s="53" t="s">
        <v>2982</v>
      </c>
      <c r="B274" s="234" t="s">
        <v>526</v>
      </c>
      <c r="C274" s="143" t="s">
        <v>527</v>
      </c>
      <c r="D274" s="135" t="s">
        <v>52</v>
      </c>
      <c r="E274" s="144">
        <v>2</v>
      </c>
      <c r="F274" s="145">
        <v>2518.77</v>
      </c>
      <c r="G274" s="48">
        <f t="shared" ref="G274" si="125">TRUNC(F274*(1+$E$3),2)</f>
        <v>3192.03</v>
      </c>
      <c r="H274" s="48">
        <f t="shared" ref="H274" si="126">TRUNC((G274*E274),2)</f>
        <v>6384.06</v>
      </c>
    </row>
    <row r="275" spans="1:8" ht="78.75" outlineLevel="1" x14ac:dyDescent="0.25">
      <c r="A275" s="53" t="s">
        <v>2983</v>
      </c>
      <c r="B275" s="135" t="s">
        <v>528</v>
      </c>
      <c r="C275" s="143" t="s">
        <v>529</v>
      </c>
      <c r="D275" s="135" t="s">
        <v>152</v>
      </c>
      <c r="E275" s="144">
        <v>1</v>
      </c>
      <c r="F275" s="145">
        <v>2494.7199999999998</v>
      </c>
      <c r="G275" s="48">
        <f t="shared" ref="G275:G277" si="127">TRUNC(F275*(1+$E$3),2)</f>
        <v>3161.55</v>
      </c>
      <c r="H275" s="48">
        <f t="shared" ref="H275:H277" si="128">TRUNC((G275*E275),2)</f>
        <v>3161.55</v>
      </c>
    </row>
    <row r="276" spans="1:8" ht="78.75" outlineLevel="1" x14ac:dyDescent="0.25">
      <c r="A276" s="53" t="s">
        <v>2984</v>
      </c>
      <c r="B276" s="234" t="s">
        <v>530</v>
      </c>
      <c r="C276" s="143" t="s">
        <v>531</v>
      </c>
      <c r="D276" s="135" t="s">
        <v>152</v>
      </c>
      <c r="E276" s="144">
        <v>1</v>
      </c>
      <c r="F276" s="145">
        <v>1514.51</v>
      </c>
      <c r="G276" s="48">
        <f t="shared" si="127"/>
        <v>1919.33</v>
      </c>
      <c r="H276" s="48">
        <f t="shared" si="128"/>
        <v>1919.33</v>
      </c>
    </row>
    <row r="277" spans="1:8" ht="31.5" outlineLevel="2" x14ac:dyDescent="0.25">
      <c r="A277" s="53" t="s">
        <v>2985</v>
      </c>
      <c r="B277" s="234" t="s">
        <v>2970</v>
      </c>
      <c r="C277" s="143" t="s">
        <v>2971</v>
      </c>
      <c r="D277" s="135" t="s">
        <v>52</v>
      </c>
      <c r="E277" s="144">
        <v>2</v>
      </c>
      <c r="F277" s="145">
        <v>917.47</v>
      </c>
      <c r="G277" s="48">
        <f t="shared" si="127"/>
        <v>1162.7</v>
      </c>
      <c r="H277" s="48">
        <f t="shared" si="128"/>
        <v>2325.4</v>
      </c>
    </row>
    <row r="278" spans="1:8" outlineLevel="1" x14ac:dyDescent="0.25">
      <c r="A278" s="62"/>
      <c r="B278" s="62"/>
      <c r="C278" s="63" t="s">
        <v>13</v>
      </c>
      <c r="D278" s="62"/>
      <c r="E278" s="64"/>
      <c r="F278" s="64"/>
      <c r="G278" s="65"/>
      <c r="H278" s="65">
        <f>SUM(H264:H277)</f>
        <v>64543.490000000013</v>
      </c>
    </row>
    <row r="279" spans="1:8" outlineLevel="1" x14ac:dyDescent="0.25">
      <c r="A279" s="123" t="s">
        <v>2987</v>
      </c>
      <c r="B279" s="123"/>
      <c r="C279" s="124" t="s">
        <v>2986</v>
      </c>
      <c r="D279" s="123"/>
      <c r="E279" s="126"/>
      <c r="F279" s="126"/>
      <c r="G279" s="127"/>
      <c r="H279" s="126"/>
    </row>
    <row r="280" spans="1:8" ht="47.25" outlineLevel="1" x14ac:dyDescent="0.25">
      <c r="A280" s="53" t="s">
        <v>2989</v>
      </c>
      <c r="B280" s="234">
        <v>94990</v>
      </c>
      <c r="C280" s="143" t="s">
        <v>2988</v>
      </c>
      <c r="D280" s="135" t="s">
        <v>153</v>
      </c>
      <c r="E280" s="144">
        <v>12.47</v>
      </c>
      <c r="F280" s="145">
        <v>494.4</v>
      </c>
      <c r="G280" s="48">
        <f t="shared" ref="G280" si="129">TRUNC(F280*(1+$E$3),2)</f>
        <v>626.54999999999995</v>
      </c>
      <c r="H280" s="48">
        <f t="shared" ref="H280" si="130">TRUNC((G280*E280),2)</f>
        <v>7813.07</v>
      </c>
    </row>
    <row r="281" spans="1:8" outlineLevel="2" x14ac:dyDescent="0.25">
      <c r="A281" s="62"/>
      <c r="B281" s="62"/>
      <c r="C281" s="63" t="s">
        <v>13</v>
      </c>
      <c r="D281" s="62"/>
      <c r="E281" s="64"/>
      <c r="F281" s="64"/>
      <c r="G281" s="65"/>
      <c r="H281" s="65">
        <f>SUM(H280:H280)</f>
        <v>7813.07</v>
      </c>
    </row>
    <row r="282" spans="1:8" outlineLevel="1" x14ac:dyDescent="0.25">
      <c r="A282" s="123" t="s">
        <v>2990</v>
      </c>
      <c r="B282" s="123"/>
      <c r="C282" s="124" t="s">
        <v>1226</v>
      </c>
      <c r="D282" s="123"/>
      <c r="E282" s="126"/>
      <c r="F282" s="126"/>
      <c r="G282" s="127"/>
      <c r="H282" s="126"/>
    </row>
    <row r="283" spans="1:8" outlineLevel="2" x14ac:dyDescent="0.25">
      <c r="A283" s="53" t="s">
        <v>2991</v>
      </c>
      <c r="B283" s="135" t="s">
        <v>561</v>
      </c>
      <c r="C283" s="143" t="s">
        <v>562</v>
      </c>
      <c r="D283" s="135" t="s">
        <v>77</v>
      </c>
      <c r="E283" s="144">
        <v>5.44</v>
      </c>
      <c r="F283" s="145">
        <v>10.39</v>
      </c>
      <c r="G283" s="48">
        <f t="shared" ref="G283" si="131">TRUNC(F283*(1+$E$3),2)</f>
        <v>13.16</v>
      </c>
      <c r="H283" s="48">
        <f t="shared" ref="H283" si="132">TRUNC((G283*E283),2)</f>
        <v>71.59</v>
      </c>
    </row>
    <row r="284" spans="1:8" outlineLevel="2" x14ac:dyDescent="0.25">
      <c r="A284" s="53" t="s">
        <v>2992</v>
      </c>
      <c r="B284" s="135" t="s">
        <v>559</v>
      </c>
      <c r="C284" s="143" t="s">
        <v>560</v>
      </c>
      <c r="D284" s="135" t="s">
        <v>77</v>
      </c>
      <c r="E284" s="144">
        <v>310.88</v>
      </c>
      <c r="F284" s="145">
        <v>5.48</v>
      </c>
      <c r="G284" s="48">
        <f t="shared" ref="G284" si="133">TRUNC(F284*(1+$E$3),2)</f>
        <v>6.94</v>
      </c>
      <c r="H284" s="48">
        <f t="shared" ref="H284" si="134">TRUNC((G284*E284),2)</f>
        <v>2157.5</v>
      </c>
    </row>
    <row r="285" spans="1:8" s="57" customFormat="1" outlineLevel="2" x14ac:dyDescent="0.25">
      <c r="A285" s="53" t="s">
        <v>2993</v>
      </c>
      <c r="B285" s="234">
        <v>9537</v>
      </c>
      <c r="C285" s="143" t="s">
        <v>329</v>
      </c>
      <c r="D285" s="135" t="s">
        <v>77</v>
      </c>
      <c r="E285" s="144">
        <v>1566.94</v>
      </c>
      <c r="F285" s="145">
        <v>2.09</v>
      </c>
      <c r="G285" s="48">
        <f t="shared" ref="G285" si="135">TRUNC(F285*(1+$E$3),2)</f>
        <v>2.64</v>
      </c>
      <c r="H285" s="48">
        <f t="shared" ref="H285" si="136">TRUNC((G285*E285),2)</f>
        <v>4136.72</v>
      </c>
    </row>
    <row r="286" spans="1:8" outlineLevel="2" x14ac:dyDescent="0.25">
      <c r="A286" s="53"/>
      <c r="B286" s="62"/>
      <c r="C286" s="63" t="s">
        <v>13</v>
      </c>
      <c r="D286" s="62"/>
      <c r="E286" s="64"/>
      <c r="F286" s="64"/>
      <c r="G286" s="65"/>
      <c r="H286" s="65">
        <f>SUM(H283:H285)</f>
        <v>6365.81</v>
      </c>
    </row>
    <row r="287" spans="1:8" outlineLevel="1" x14ac:dyDescent="0.25">
      <c r="A287" s="123" t="s">
        <v>2994</v>
      </c>
      <c r="B287" s="123"/>
      <c r="C287" s="124" t="s">
        <v>2995</v>
      </c>
      <c r="D287" s="123"/>
      <c r="E287" s="126"/>
      <c r="F287" s="126"/>
      <c r="G287" s="56"/>
      <c r="H287" s="126"/>
    </row>
    <row r="288" spans="1:8" ht="31.5" outlineLevel="2" x14ac:dyDescent="0.25">
      <c r="A288" s="135" t="s">
        <v>2996</v>
      </c>
      <c r="B288" s="135" t="s">
        <v>98</v>
      </c>
      <c r="C288" s="143" t="s">
        <v>248</v>
      </c>
      <c r="D288" s="135" t="s">
        <v>77</v>
      </c>
      <c r="E288" s="144">
        <v>1224.56</v>
      </c>
      <c r="F288" s="145">
        <v>8.2200000000000006</v>
      </c>
      <c r="G288" s="48">
        <f t="shared" ref="G288" si="137">TRUNC(F288*(1+$E$3),2)</f>
        <v>10.41</v>
      </c>
      <c r="H288" s="48">
        <f t="shared" ref="H288" si="138">TRUNC((G288*E288),2)</f>
        <v>12747.66</v>
      </c>
    </row>
    <row r="289" spans="1:8" ht="47.25" outlineLevel="2" x14ac:dyDescent="0.25">
      <c r="A289" s="135" t="s">
        <v>2997</v>
      </c>
      <c r="B289" s="135" t="s">
        <v>485</v>
      </c>
      <c r="C289" s="143" t="s">
        <v>486</v>
      </c>
      <c r="D289" s="135" t="s">
        <v>77</v>
      </c>
      <c r="E289" s="144">
        <v>756.91</v>
      </c>
      <c r="F289" s="145">
        <v>28.62</v>
      </c>
      <c r="G289" s="48">
        <f t="shared" ref="G289" si="139">TRUNC(F289*(1+$E$3),2)</f>
        <v>36.270000000000003</v>
      </c>
      <c r="H289" s="48">
        <f t="shared" ref="H289" si="140">TRUNC((G289*E289),2)</f>
        <v>27453.119999999999</v>
      </c>
    </row>
    <row r="290" spans="1:8" outlineLevel="1" x14ac:dyDescent="0.25">
      <c r="A290" s="151"/>
      <c r="B290" s="154"/>
      <c r="C290" s="155" t="s">
        <v>13</v>
      </c>
      <c r="D290" s="154"/>
      <c r="E290" s="156"/>
      <c r="F290" s="156"/>
      <c r="G290" s="157"/>
      <c r="H290" s="157">
        <f>SUM(H288:H289)</f>
        <v>40200.78</v>
      </c>
    </row>
    <row r="291" spans="1:8" outlineLevel="1" x14ac:dyDescent="0.25">
      <c r="A291" s="62"/>
      <c r="B291" s="62"/>
      <c r="C291" s="90" t="s">
        <v>2998</v>
      </c>
      <c r="D291" s="62"/>
      <c r="E291" s="64"/>
      <c r="F291" s="64"/>
      <c r="G291" s="65"/>
      <c r="H291" s="65">
        <f>SUM(H290,H286,H281,H278,H262,H252,H248,H244,H237,H234,H227,H222,H217,H212,H209,H200,H190,H184,H175,H172,H165,H159,H156,H151,H135,H123,H101,H93,H89,H77,H68,H59,H56,H49,H37)</f>
        <v>3764310.37</v>
      </c>
    </row>
    <row r="292" spans="1:8" outlineLevel="2" x14ac:dyDescent="0.25">
      <c r="A292" s="752" t="s">
        <v>2999</v>
      </c>
      <c r="B292" s="752"/>
      <c r="C292" s="752"/>
      <c r="D292" s="752"/>
      <c r="E292" s="752"/>
      <c r="F292" s="752"/>
      <c r="G292" s="752"/>
      <c r="H292" s="752"/>
    </row>
    <row r="293" spans="1:8" outlineLevel="1" x14ac:dyDescent="0.25">
      <c r="A293" s="123" t="s">
        <v>28</v>
      </c>
      <c r="B293" s="123"/>
      <c r="C293" s="124" t="s">
        <v>3000</v>
      </c>
      <c r="D293" s="123"/>
      <c r="E293" s="126"/>
      <c r="F293" s="126"/>
      <c r="G293" s="56"/>
      <c r="H293" s="126"/>
    </row>
    <row r="294" spans="1:8" ht="31.5" outlineLevel="1" x14ac:dyDescent="0.25">
      <c r="A294" s="123" t="s">
        <v>29</v>
      </c>
      <c r="B294" s="123"/>
      <c r="C294" s="124" t="s">
        <v>253</v>
      </c>
      <c r="D294" s="123"/>
      <c r="E294" s="126"/>
      <c r="F294" s="126"/>
      <c r="G294" s="337"/>
      <c r="H294" s="126"/>
    </row>
    <row r="295" spans="1:8" outlineLevel="1" x14ac:dyDescent="0.25">
      <c r="A295" s="135" t="s">
        <v>3001</v>
      </c>
      <c r="B295" s="135" t="s">
        <v>299</v>
      </c>
      <c r="C295" s="143" t="s">
        <v>298</v>
      </c>
      <c r="D295" s="135" t="s">
        <v>153</v>
      </c>
      <c r="E295" s="144">
        <v>951.05</v>
      </c>
      <c r="F295" s="145">
        <v>27.91</v>
      </c>
      <c r="G295" s="48">
        <f t="shared" ref="G295:G296" si="141">TRUNC(F295*(1+$E$3),2)</f>
        <v>35.369999999999997</v>
      </c>
      <c r="H295" s="48">
        <f t="shared" ref="H295:H296" si="142">TRUNC((G295*E295),2)</f>
        <v>33638.629999999997</v>
      </c>
    </row>
    <row r="296" spans="1:8" ht="47.25" outlineLevel="1" x14ac:dyDescent="0.25">
      <c r="A296" s="135" t="s">
        <v>3002</v>
      </c>
      <c r="B296" s="234" t="s">
        <v>101</v>
      </c>
      <c r="C296" s="143" t="s">
        <v>572</v>
      </c>
      <c r="D296" s="135" t="s">
        <v>153</v>
      </c>
      <c r="E296" s="144">
        <v>951.05</v>
      </c>
      <c r="F296" s="145">
        <v>4.55</v>
      </c>
      <c r="G296" s="48">
        <f t="shared" si="141"/>
        <v>5.76</v>
      </c>
      <c r="H296" s="48">
        <f t="shared" si="142"/>
        <v>5478.04</v>
      </c>
    </row>
    <row r="297" spans="1:8" outlineLevel="1" x14ac:dyDescent="0.25">
      <c r="A297" s="151"/>
      <c r="B297" s="154"/>
      <c r="C297" s="155" t="s">
        <v>13</v>
      </c>
      <c r="D297" s="154"/>
      <c r="E297" s="156"/>
      <c r="F297" s="156"/>
      <c r="G297" s="157"/>
      <c r="H297" s="157">
        <f>SUM(H295:H296)</f>
        <v>39116.67</v>
      </c>
    </row>
    <row r="298" spans="1:8" outlineLevel="1" x14ac:dyDescent="0.25">
      <c r="A298" s="163" t="s">
        <v>30</v>
      </c>
      <c r="B298" s="163"/>
      <c r="C298" s="164" t="s">
        <v>589</v>
      </c>
      <c r="D298" s="163"/>
      <c r="E298" s="165"/>
      <c r="F298" s="165"/>
      <c r="G298" s="166"/>
      <c r="H298" s="165"/>
    </row>
    <row r="299" spans="1:8" ht="63" outlineLevel="1" x14ac:dyDescent="0.25">
      <c r="A299" s="135" t="s">
        <v>3003</v>
      </c>
      <c r="B299" s="234">
        <v>90808</v>
      </c>
      <c r="C299" s="143" t="s">
        <v>2162</v>
      </c>
      <c r="D299" s="135" t="s">
        <v>75</v>
      </c>
      <c r="E299" s="144">
        <v>2016</v>
      </c>
      <c r="F299" s="145">
        <v>66.95</v>
      </c>
      <c r="G299" s="48">
        <f t="shared" ref="G299:G300" si="143">TRUNC(F299*(1+$E$3),2)</f>
        <v>84.84</v>
      </c>
      <c r="H299" s="48">
        <f t="shared" ref="H299:H300" si="144">TRUNC((G299*E299),2)</f>
        <v>171037.44</v>
      </c>
    </row>
    <row r="300" spans="1:8" ht="78.75" outlineLevel="1" x14ac:dyDescent="0.25">
      <c r="A300" s="135" t="s">
        <v>3004</v>
      </c>
      <c r="B300" s="234" t="s">
        <v>3017</v>
      </c>
      <c r="C300" s="143" t="s">
        <v>2139</v>
      </c>
      <c r="D300" s="135" t="s">
        <v>71</v>
      </c>
      <c r="E300" s="144">
        <v>1293.5999999999999</v>
      </c>
      <c r="F300" s="145">
        <v>11.76</v>
      </c>
      <c r="G300" s="48">
        <f t="shared" si="143"/>
        <v>14.9</v>
      </c>
      <c r="H300" s="48">
        <f t="shared" si="144"/>
        <v>19274.64</v>
      </c>
    </row>
    <row r="301" spans="1:8" ht="78.75" outlineLevel="1" x14ac:dyDescent="0.25">
      <c r="A301" s="135" t="s">
        <v>3005</v>
      </c>
      <c r="B301" s="135" t="s">
        <v>3018</v>
      </c>
      <c r="C301" s="143" t="s">
        <v>2147</v>
      </c>
      <c r="D301" s="135" t="s">
        <v>71</v>
      </c>
      <c r="E301" s="144">
        <v>3185.48</v>
      </c>
      <c r="F301" s="145">
        <v>10.38</v>
      </c>
      <c r="G301" s="48">
        <f t="shared" ref="G301:G312" si="145">TRUNC(F301*(1+$E$3),2)</f>
        <v>13.15</v>
      </c>
      <c r="H301" s="48">
        <f t="shared" ref="H301:H312" si="146">TRUNC((G301*E301),2)</f>
        <v>41889.06</v>
      </c>
    </row>
    <row r="302" spans="1:8" ht="47.25" outlineLevel="1" x14ac:dyDescent="0.25">
      <c r="A302" s="135" t="s">
        <v>3006</v>
      </c>
      <c r="B302" s="234">
        <v>96521</v>
      </c>
      <c r="C302" s="143" t="s">
        <v>573</v>
      </c>
      <c r="D302" s="135" t="s">
        <v>153</v>
      </c>
      <c r="E302" s="144">
        <v>156.24</v>
      </c>
      <c r="F302" s="145">
        <v>26.98</v>
      </c>
      <c r="G302" s="48">
        <f t="shared" si="145"/>
        <v>34.19</v>
      </c>
      <c r="H302" s="48">
        <f t="shared" si="146"/>
        <v>5341.84</v>
      </c>
    </row>
    <row r="303" spans="1:8" ht="47.25" outlineLevel="1" x14ac:dyDescent="0.25">
      <c r="A303" s="135" t="s">
        <v>3007</v>
      </c>
      <c r="B303" s="234">
        <v>96525</v>
      </c>
      <c r="C303" s="143" t="s">
        <v>574</v>
      </c>
      <c r="D303" s="135" t="s">
        <v>153</v>
      </c>
      <c r="E303" s="144">
        <v>204.31</v>
      </c>
      <c r="F303" s="145">
        <v>24.44</v>
      </c>
      <c r="G303" s="48">
        <f t="shared" si="145"/>
        <v>30.97</v>
      </c>
      <c r="H303" s="48">
        <f t="shared" si="146"/>
        <v>6327.48</v>
      </c>
    </row>
    <row r="304" spans="1:8" ht="47.25" outlineLevel="1" x14ac:dyDescent="0.25">
      <c r="A304" s="135" t="s">
        <v>3008</v>
      </c>
      <c r="B304" s="234">
        <v>94099</v>
      </c>
      <c r="C304" s="143" t="s">
        <v>576</v>
      </c>
      <c r="D304" s="135" t="s">
        <v>77</v>
      </c>
      <c r="E304" s="144">
        <v>162</v>
      </c>
      <c r="F304" s="145">
        <v>2.0499999999999998</v>
      </c>
      <c r="G304" s="48">
        <f t="shared" si="145"/>
        <v>2.59</v>
      </c>
      <c r="H304" s="48">
        <f t="shared" si="146"/>
        <v>419.58</v>
      </c>
    </row>
    <row r="305" spans="1:8" ht="47.25" outlineLevel="1" x14ac:dyDescent="0.25">
      <c r="A305" s="135" t="s">
        <v>3009</v>
      </c>
      <c r="B305" s="234">
        <v>94097</v>
      </c>
      <c r="C305" s="143" t="s">
        <v>244</v>
      </c>
      <c r="D305" s="135" t="s">
        <v>77</v>
      </c>
      <c r="E305" s="144">
        <v>340.52</v>
      </c>
      <c r="F305" s="145">
        <v>4.16</v>
      </c>
      <c r="G305" s="48">
        <f t="shared" si="145"/>
        <v>5.27</v>
      </c>
      <c r="H305" s="48">
        <f t="shared" si="146"/>
        <v>1794.54</v>
      </c>
    </row>
    <row r="306" spans="1:8" ht="31.5" outlineLevel="1" x14ac:dyDescent="0.25">
      <c r="A306" s="135" t="s">
        <v>3010</v>
      </c>
      <c r="B306" s="234">
        <v>95241</v>
      </c>
      <c r="C306" s="143" t="s">
        <v>245</v>
      </c>
      <c r="D306" s="135" t="s">
        <v>77</v>
      </c>
      <c r="E306" s="144">
        <v>502.52</v>
      </c>
      <c r="F306" s="145">
        <v>18.96</v>
      </c>
      <c r="G306" s="48">
        <f t="shared" si="145"/>
        <v>24.02</v>
      </c>
      <c r="H306" s="48">
        <f t="shared" si="146"/>
        <v>12070.53</v>
      </c>
    </row>
    <row r="307" spans="1:8" ht="94.5" outlineLevel="1" x14ac:dyDescent="0.25">
      <c r="A307" s="135" t="s">
        <v>3011</v>
      </c>
      <c r="B307" s="234">
        <v>93368</v>
      </c>
      <c r="C307" s="143" t="s">
        <v>575</v>
      </c>
      <c r="D307" s="135" t="s">
        <v>153</v>
      </c>
      <c r="E307" s="144">
        <v>113.01</v>
      </c>
      <c r="F307" s="145">
        <v>9.5299999999999994</v>
      </c>
      <c r="G307" s="48">
        <f t="shared" si="145"/>
        <v>12.07</v>
      </c>
      <c r="H307" s="48">
        <f t="shared" si="146"/>
        <v>1364.03</v>
      </c>
    </row>
    <row r="308" spans="1:8" ht="94.5" outlineLevel="1" x14ac:dyDescent="0.25">
      <c r="A308" s="135" t="s">
        <v>3012</v>
      </c>
      <c r="B308" s="234">
        <v>93378</v>
      </c>
      <c r="C308" s="143" t="s">
        <v>641</v>
      </c>
      <c r="D308" s="135" t="s">
        <v>153</v>
      </c>
      <c r="E308" s="144">
        <v>151.34</v>
      </c>
      <c r="F308" s="145">
        <v>16.03</v>
      </c>
      <c r="G308" s="48">
        <f t="shared" si="145"/>
        <v>20.309999999999999</v>
      </c>
      <c r="H308" s="48">
        <f t="shared" si="146"/>
        <v>3073.71</v>
      </c>
    </row>
    <row r="309" spans="1:8" ht="31.5" outlineLevel="1" x14ac:dyDescent="0.25">
      <c r="A309" s="135" t="s">
        <v>3013</v>
      </c>
      <c r="B309" s="234">
        <v>72898</v>
      </c>
      <c r="C309" s="143" t="s">
        <v>483</v>
      </c>
      <c r="D309" s="135" t="s">
        <v>153</v>
      </c>
      <c r="E309" s="144">
        <v>134.66999999999999</v>
      </c>
      <c r="F309" s="145">
        <v>3.15</v>
      </c>
      <c r="G309" s="48">
        <f t="shared" si="145"/>
        <v>3.99</v>
      </c>
      <c r="H309" s="48">
        <f t="shared" si="146"/>
        <v>537.33000000000004</v>
      </c>
    </row>
    <row r="310" spans="1:8" ht="47.25" outlineLevel="1" x14ac:dyDescent="0.25">
      <c r="A310" s="135" t="s">
        <v>3014</v>
      </c>
      <c r="B310" s="234">
        <v>95302</v>
      </c>
      <c r="C310" s="143" t="s">
        <v>247</v>
      </c>
      <c r="D310" s="135" t="s">
        <v>484</v>
      </c>
      <c r="E310" s="144">
        <v>1346.7</v>
      </c>
      <c r="F310" s="145">
        <v>1.28</v>
      </c>
      <c r="G310" s="48">
        <f t="shared" si="145"/>
        <v>1.62</v>
      </c>
      <c r="H310" s="48">
        <f t="shared" si="146"/>
        <v>2181.65</v>
      </c>
    </row>
    <row r="311" spans="1:8" ht="31.5" outlineLevel="1" x14ac:dyDescent="0.25">
      <c r="A311" s="135" t="s">
        <v>3015</v>
      </c>
      <c r="B311" s="135" t="s">
        <v>3019</v>
      </c>
      <c r="C311" s="143" t="s">
        <v>2677</v>
      </c>
      <c r="D311" s="135" t="s">
        <v>52</v>
      </c>
      <c r="E311" s="144">
        <v>7</v>
      </c>
      <c r="F311" s="145">
        <v>1000</v>
      </c>
      <c r="G311" s="48">
        <f t="shared" si="145"/>
        <v>1267.3</v>
      </c>
      <c r="H311" s="48">
        <f t="shared" si="146"/>
        <v>8871.1</v>
      </c>
    </row>
    <row r="312" spans="1:8" ht="31.5" outlineLevel="1" x14ac:dyDescent="0.25">
      <c r="A312" s="135" t="s">
        <v>3016</v>
      </c>
      <c r="B312" s="234">
        <v>72733</v>
      </c>
      <c r="C312" s="143" t="s">
        <v>3020</v>
      </c>
      <c r="D312" s="135" t="s">
        <v>52</v>
      </c>
      <c r="E312" s="144">
        <v>1</v>
      </c>
      <c r="F312" s="145">
        <v>630.1</v>
      </c>
      <c r="G312" s="48">
        <f t="shared" si="145"/>
        <v>798.52</v>
      </c>
      <c r="H312" s="48">
        <f t="shared" si="146"/>
        <v>798.52</v>
      </c>
    </row>
    <row r="313" spans="1:8" outlineLevel="1" x14ac:dyDescent="0.25">
      <c r="A313" s="92"/>
      <c r="B313" s="62"/>
      <c r="C313" s="63" t="s">
        <v>13</v>
      </c>
      <c r="D313" s="62"/>
      <c r="E313" s="64"/>
      <c r="F313" s="64"/>
      <c r="G313" s="65"/>
      <c r="H313" s="65">
        <f>SUM(H299:H312)</f>
        <v>274981.45000000007</v>
      </c>
    </row>
    <row r="314" spans="1:8" outlineLevel="1" x14ac:dyDescent="0.25">
      <c r="A314" s="119" t="s">
        <v>66</v>
      </c>
      <c r="B314" s="61"/>
      <c r="C314" s="129" t="s">
        <v>3021</v>
      </c>
      <c r="D314" s="61"/>
      <c r="E314" s="55"/>
      <c r="F314" s="56"/>
      <c r="G314" s="56"/>
      <c r="H314" s="56"/>
    </row>
    <row r="315" spans="1:8" s="57" customFormat="1" ht="53.25" customHeight="1" outlineLevel="2" x14ac:dyDescent="0.25">
      <c r="A315" s="135" t="s">
        <v>3022</v>
      </c>
      <c r="B315" s="234" t="s">
        <v>420</v>
      </c>
      <c r="C315" s="143" t="s">
        <v>421</v>
      </c>
      <c r="D315" s="116" t="s">
        <v>153</v>
      </c>
      <c r="E315" s="116">
        <v>94.79</v>
      </c>
      <c r="F315" s="145">
        <v>85.71</v>
      </c>
      <c r="G315" s="48">
        <f t="shared" ref="G315" si="147">TRUNC(F315*(1+$E$3),2)</f>
        <v>108.62</v>
      </c>
      <c r="H315" s="48">
        <f t="shared" ref="H315" si="148">TRUNC((G315*E315),2)</f>
        <v>10296.08</v>
      </c>
    </row>
    <row r="316" spans="1:8" s="57" customFormat="1" ht="53.25" customHeight="1" outlineLevel="2" x14ac:dyDescent="0.25">
      <c r="A316" s="135" t="s">
        <v>3023</v>
      </c>
      <c r="B316" s="234">
        <v>68053</v>
      </c>
      <c r="C316" s="143" t="s">
        <v>249</v>
      </c>
      <c r="D316" s="116" t="s">
        <v>77</v>
      </c>
      <c r="E316" s="116">
        <v>1895.89</v>
      </c>
      <c r="F316" s="145">
        <v>4.54</v>
      </c>
      <c r="G316" s="48">
        <f t="shared" ref="G316:G318" si="149">TRUNC(F316*(1+$E$3),2)</f>
        <v>5.75</v>
      </c>
      <c r="H316" s="48">
        <f t="shared" ref="H316:H318" si="150">TRUNC((G316*E316),2)</f>
        <v>10901.36</v>
      </c>
    </row>
    <row r="317" spans="1:8" s="57" customFormat="1" ht="53.25" customHeight="1" outlineLevel="2" x14ac:dyDescent="0.25">
      <c r="A317" s="135" t="s">
        <v>3024</v>
      </c>
      <c r="B317" s="135" t="s">
        <v>577</v>
      </c>
      <c r="C317" s="143" t="s">
        <v>578</v>
      </c>
      <c r="D317" s="116" t="s">
        <v>153</v>
      </c>
      <c r="E317" s="116">
        <v>132.71</v>
      </c>
      <c r="F317" s="145">
        <v>388.18</v>
      </c>
      <c r="G317" s="48">
        <f t="shared" ref="G317" si="151">TRUNC(F317*(1+$E$3),2)</f>
        <v>491.94</v>
      </c>
      <c r="H317" s="48">
        <f t="shared" ref="H317" si="152">TRUNC((G317*E317),2)</f>
        <v>65285.35</v>
      </c>
    </row>
    <row r="318" spans="1:8" s="57" customFormat="1" ht="31.5" outlineLevel="2" x14ac:dyDescent="0.25">
      <c r="A318" s="135" t="s">
        <v>3025</v>
      </c>
      <c r="B318" s="234">
        <v>85662</v>
      </c>
      <c r="C318" s="143" t="s">
        <v>579</v>
      </c>
      <c r="D318" s="116" t="s">
        <v>77</v>
      </c>
      <c r="E318" s="116">
        <v>2275.0700000000002</v>
      </c>
      <c r="F318" s="145">
        <v>11.6</v>
      </c>
      <c r="G318" s="48">
        <f t="shared" si="149"/>
        <v>14.7</v>
      </c>
      <c r="H318" s="48">
        <f t="shared" si="150"/>
        <v>33443.519999999997</v>
      </c>
    </row>
    <row r="319" spans="1:8" s="57" customFormat="1" outlineLevel="1" x14ac:dyDescent="0.25">
      <c r="A319" s="62"/>
      <c r="B319" s="62"/>
      <c r="C319" s="90" t="s">
        <v>13</v>
      </c>
      <c r="D319" s="62"/>
      <c r="E319" s="64"/>
      <c r="F319" s="64"/>
      <c r="G319" s="65"/>
      <c r="H319" s="65">
        <f>SUM(H315:H318)</f>
        <v>119926.31</v>
      </c>
    </row>
    <row r="320" spans="1:8" s="57" customFormat="1" outlineLevel="1" x14ac:dyDescent="0.25">
      <c r="A320" s="119" t="s">
        <v>67</v>
      </c>
      <c r="B320" s="61"/>
      <c r="C320" s="129" t="s">
        <v>3027</v>
      </c>
      <c r="D320" s="61"/>
      <c r="E320" s="55"/>
      <c r="F320" s="56"/>
      <c r="G320" s="56"/>
      <c r="H320" s="56"/>
    </row>
    <row r="321" spans="1:8" s="57" customFormat="1" ht="47.25" outlineLevel="1" x14ac:dyDescent="0.25">
      <c r="A321" s="135" t="s">
        <v>3028</v>
      </c>
      <c r="B321" s="234">
        <v>96531</v>
      </c>
      <c r="C321" s="143" t="s">
        <v>3029</v>
      </c>
      <c r="D321" s="116" t="s">
        <v>77</v>
      </c>
      <c r="E321" s="116">
        <v>219.48</v>
      </c>
      <c r="F321" s="145">
        <v>56.21</v>
      </c>
      <c r="G321" s="48">
        <f t="shared" ref="G321" si="153">TRUNC(F321*(1+$E$3),2)</f>
        <v>71.23</v>
      </c>
      <c r="H321" s="48">
        <f t="shared" ref="H321" si="154">TRUNC((G321*E321),2)</f>
        <v>15633.56</v>
      </c>
    </row>
    <row r="322" spans="1:8" s="57" customFormat="1" ht="47.25" outlineLevel="1" x14ac:dyDescent="0.25">
      <c r="A322" s="135" t="s">
        <v>3034</v>
      </c>
      <c r="B322" s="135" t="s">
        <v>577</v>
      </c>
      <c r="C322" s="143" t="s">
        <v>578</v>
      </c>
      <c r="D322" s="116" t="s">
        <v>153</v>
      </c>
      <c r="E322" s="116">
        <v>43.23</v>
      </c>
      <c r="F322" s="145">
        <v>388.18</v>
      </c>
      <c r="G322" s="48">
        <f t="shared" ref="G322:G326" si="155">TRUNC(F322*(1+$E$3),2)</f>
        <v>491.94</v>
      </c>
      <c r="H322" s="48">
        <f t="shared" ref="H322:H326" si="156">TRUNC((G322*E322),2)</f>
        <v>21266.560000000001</v>
      </c>
    </row>
    <row r="323" spans="1:8" s="57" customFormat="1" ht="47.25" outlineLevel="1" x14ac:dyDescent="0.25">
      <c r="A323" s="135" t="s">
        <v>3035</v>
      </c>
      <c r="B323" s="234">
        <v>96544</v>
      </c>
      <c r="C323" s="143" t="s">
        <v>3030</v>
      </c>
      <c r="D323" s="116" t="s">
        <v>71</v>
      </c>
      <c r="E323" s="116">
        <v>679</v>
      </c>
      <c r="F323" s="145">
        <v>11.59</v>
      </c>
      <c r="G323" s="48">
        <f t="shared" si="155"/>
        <v>14.68</v>
      </c>
      <c r="H323" s="48">
        <f t="shared" si="156"/>
        <v>9967.7199999999993</v>
      </c>
    </row>
    <row r="324" spans="1:8" s="57" customFormat="1" ht="47.25" outlineLevel="1" x14ac:dyDescent="0.25">
      <c r="A324" s="135" t="s">
        <v>3036</v>
      </c>
      <c r="B324" s="234">
        <v>96545</v>
      </c>
      <c r="C324" s="143" t="s">
        <v>3031</v>
      </c>
      <c r="D324" s="116" t="s">
        <v>71</v>
      </c>
      <c r="E324" s="116">
        <v>81</v>
      </c>
      <c r="F324" s="145">
        <v>11</v>
      </c>
      <c r="G324" s="48">
        <f t="shared" si="155"/>
        <v>13.94</v>
      </c>
      <c r="H324" s="48">
        <f t="shared" si="156"/>
        <v>1129.1400000000001</v>
      </c>
    </row>
    <row r="325" spans="1:8" s="57" customFormat="1" ht="47.25" outlineLevel="1" x14ac:dyDescent="0.25">
      <c r="A325" s="135" t="s">
        <v>3037</v>
      </c>
      <c r="B325" s="234">
        <v>96546</v>
      </c>
      <c r="C325" s="143" t="s">
        <v>3032</v>
      </c>
      <c r="D325" s="116" t="s">
        <v>71</v>
      </c>
      <c r="E325" s="116">
        <v>712</v>
      </c>
      <c r="F325" s="145">
        <v>8.9499999999999993</v>
      </c>
      <c r="G325" s="48">
        <f t="shared" si="155"/>
        <v>11.34</v>
      </c>
      <c r="H325" s="48">
        <f t="shared" si="156"/>
        <v>8074.08</v>
      </c>
    </row>
    <row r="326" spans="1:8" s="57" customFormat="1" ht="47.25" outlineLevel="2" x14ac:dyDescent="0.25">
      <c r="A326" s="135" t="s">
        <v>3038</v>
      </c>
      <c r="B326" s="234">
        <v>96547</v>
      </c>
      <c r="C326" s="143" t="s">
        <v>3033</v>
      </c>
      <c r="D326" s="116" t="s">
        <v>71</v>
      </c>
      <c r="E326" s="116">
        <v>249</v>
      </c>
      <c r="F326" s="145">
        <v>7.47</v>
      </c>
      <c r="G326" s="48">
        <f t="shared" si="155"/>
        <v>9.4600000000000009</v>
      </c>
      <c r="H326" s="48">
        <f t="shared" si="156"/>
        <v>2355.54</v>
      </c>
    </row>
    <row r="327" spans="1:8" s="57" customFormat="1" outlineLevel="2" x14ac:dyDescent="0.25">
      <c r="A327" s="62"/>
      <c r="B327" s="62"/>
      <c r="C327" s="90" t="s">
        <v>13</v>
      </c>
      <c r="D327" s="62"/>
      <c r="E327" s="64"/>
      <c r="F327" s="64"/>
      <c r="G327" s="65"/>
      <c r="H327" s="65">
        <f>SUM(H321:H326)</f>
        <v>58426.600000000006</v>
      </c>
    </row>
    <row r="328" spans="1:8" s="57" customFormat="1" outlineLevel="2" x14ac:dyDescent="0.25">
      <c r="A328" s="123" t="s">
        <v>68</v>
      </c>
      <c r="B328" s="123"/>
      <c r="C328" s="124" t="s">
        <v>3039</v>
      </c>
      <c r="D328" s="123"/>
      <c r="E328" s="126"/>
      <c r="F328" s="126"/>
      <c r="G328" s="127"/>
      <c r="H328" s="126"/>
    </row>
    <row r="329" spans="1:8" s="57" customFormat="1" ht="47.25" outlineLevel="2" x14ac:dyDescent="0.25">
      <c r="A329" s="53" t="s">
        <v>3040</v>
      </c>
      <c r="B329" s="234">
        <v>96533</v>
      </c>
      <c r="C329" s="143" t="s">
        <v>581</v>
      </c>
      <c r="D329" s="135" t="s">
        <v>77</v>
      </c>
      <c r="E329" s="144">
        <v>858.93</v>
      </c>
      <c r="F329" s="145">
        <v>48.4</v>
      </c>
      <c r="G329" s="48">
        <f t="shared" ref="G329" si="157">TRUNC(F329*(1+$E$3),2)</f>
        <v>61.33</v>
      </c>
      <c r="H329" s="48">
        <f t="shared" ref="H329" si="158">TRUNC((G329*E329),2)</f>
        <v>52678.17</v>
      </c>
    </row>
    <row r="330" spans="1:8" s="57" customFormat="1" ht="47.25" outlineLevel="2" x14ac:dyDescent="0.25">
      <c r="A330" s="53" t="s">
        <v>3042</v>
      </c>
      <c r="B330" s="234" t="s">
        <v>577</v>
      </c>
      <c r="C330" s="143" t="s">
        <v>578</v>
      </c>
      <c r="D330" s="135" t="s">
        <v>153</v>
      </c>
      <c r="E330" s="144">
        <v>52.97</v>
      </c>
      <c r="F330" s="145">
        <v>388.18</v>
      </c>
      <c r="G330" s="48">
        <f t="shared" ref="G330:G334" si="159">TRUNC(F330*(1+$E$3),2)</f>
        <v>491.94</v>
      </c>
      <c r="H330" s="48">
        <f t="shared" ref="H330:H334" si="160">TRUNC((G330*E330),2)</f>
        <v>26058.06</v>
      </c>
    </row>
    <row r="331" spans="1:8" s="57" customFormat="1" ht="47.25" outlineLevel="2" x14ac:dyDescent="0.25">
      <c r="A331" s="53" t="s">
        <v>3043</v>
      </c>
      <c r="B331" s="234">
        <v>96543</v>
      </c>
      <c r="C331" s="143" t="s">
        <v>3041</v>
      </c>
      <c r="D331" s="135" t="s">
        <v>71</v>
      </c>
      <c r="E331" s="144">
        <v>699</v>
      </c>
      <c r="F331" s="145">
        <v>12.81</v>
      </c>
      <c r="G331" s="48">
        <f t="shared" si="159"/>
        <v>16.23</v>
      </c>
      <c r="H331" s="48">
        <f t="shared" si="160"/>
        <v>11344.77</v>
      </c>
    </row>
    <row r="332" spans="1:8" s="57" customFormat="1" ht="47.25" outlineLevel="2" x14ac:dyDescent="0.25">
      <c r="A332" s="53" t="s">
        <v>3044</v>
      </c>
      <c r="B332" s="234">
        <v>96544</v>
      </c>
      <c r="C332" s="143" t="s">
        <v>3030</v>
      </c>
      <c r="D332" s="135" t="s">
        <v>71</v>
      </c>
      <c r="E332" s="144">
        <v>705</v>
      </c>
      <c r="F332" s="145">
        <v>11.59</v>
      </c>
      <c r="G332" s="48">
        <f t="shared" si="159"/>
        <v>14.68</v>
      </c>
      <c r="H332" s="48">
        <f t="shared" si="160"/>
        <v>10349.4</v>
      </c>
    </row>
    <row r="333" spans="1:8" s="57" customFormat="1" ht="47.25" outlineLevel="2" x14ac:dyDescent="0.25">
      <c r="A333" s="53" t="s">
        <v>3045</v>
      </c>
      <c r="B333" s="234">
        <v>96545</v>
      </c>
      <c r="C333" s="143" t="s">
        <v>3031</v>
      </c>
      <c r="D333" s="135" t="s">
        <v>71</v>
      </c>
      <c r="E333" s="144">
        <v>322</v>
      </c>
      <c r="F333" s="145">
        <v>11</v>
      </c>
      <c r="G333" s="48">
        <f t="shared" si="159"/>
        <v>13.94</v>
      </c>
      <c r="H333" s="48">
        <f t="shared" si="160"/>
        <v>4488.68</v>
      </c>
    </row>
    <row r="334" spans="1:8" s="57" customFormat="1" ht="47.25" outlineLevel="2" x14ac:dyDescent="0.25">
      <c r="A334" s="53" t="s">
        <v>3046</v>
      </c>
      <c r="B334" s="234">
        <v>96546</v>
      </c>
      <c r="C334" s="143" t="s">
        <v>3032</v>
      </c>
      <c r="D334" s="135" t="s">
        <v>71</v>
      </c>
      <c r="E334" s="144">
        <v>1329</v>
      </c>
      <c r="F334" s="145">
        <v>8.9499999999999993</v>
      </c>
      <c r="G334" s="48">
        <f t="shared" si="159"/>
        <v>11.34</v>
      </c>
      <c r="H334" s="48">
        <f t="shared" si="160"/>
        <v>15070.86</v>
      </c>
    </row>
    <row r="335" spans="1:8" s="57" customFormat="1" outlineLevel="2" x14ac:dyDescent="0.25">
      <c r="A335" s="92"/>
      <c r="B335" s="62"/>
      <c r="C335" s="63" t="s">
        <v>13</v>
      </c>
      <c r="D335" s="62"/>
      <c r="E335" s="64"/>
      <c r="F335" s="64"/>
      <c r="G335" s="65"/>
      <c r="H335" s="65">
        <f>SUM(H329:H334)</f>
        <v>119989.93999999999</v>
      </c>
    </row>
    <row r="336" spans="1:8" s="57" customFormat="1" ht="31.5" outlineLevel="2" x14ac:dyDescent="0.25">
      <c r="A336" s="119" t="s">
        <v>69</v>
      </c>
      <c r="B336" s="61"/>
      <c r="C336" s="129" t="s">
        <v>3047</v>
      </c>
      <c r="D336" s="61"/>
      <c r="E336" s="55"/>
      <c r="F336" s="56"/>
      <c r="G336" s="56"/>
      <c r="H336" s="56"/>
    </row>
    <row r="337" spans="1:8" s="57" customFormat="1" ht="31.5" outlineLevel="2" x14ac:dyDescent="0.25">
      <c r="A337" s="135" t="s">
        <v>3048</v>
      </c>
      <c r="B337" s="234">
        <v>5970</v>
      </c>
      <c r="C337" s="143" t="s">
        <v>250</v>
      </c>
      <c r="D337" s="116" t="s">
        <v>77</v>
      </c>
      <c r="E337" s="116">
        <v>37.9</v>
      </c>
      <c r="F337" s="145">
        <v>44.54</v>
      </c>
      <c r="G337" s="48">
        <f t="shared" ref="G337" si="161">TRUNC(F337*(1+$E$3),2)</f>
        <v>56.44</v>
      </c>
      <c r="H337" s="48">
        <f t="shared" ref="H337" si="162">TRUNC((G337*E337),2)</f>
        <v>2139.0700000000002</v>
      </c>
    </row>
    <row r="338" spans="1:8" s="57" customFormat="1" ht="47.25" outlineLevel="2" x14ac:dyDescent="0.25">
      <c r="A338" s="135" t="s">
        <v>3051</v>
      </c>
      <c r="B338" s="135" t="s">
        <v>577</v>
      </c>
      <c r="C338" s="143" t="s">
        <v>578</v>
      </c>
      <c r="D338" s="116" t="s">
        <v>153</v>
      </c>
      <c r="E338" s="116">
        <v>2.4</v>
      </c>
      <c r="F338" s="145">
        <v>388.18</v>
      </c>
      <c r="G338" s="48">
        <f t="shared" ref="G338:G341" si="163">TRUNC(F338*(1+$E$3),2)</f>
        <v>491.94</v>
      </c>
      <c r="H338" s="48">
        <f t="shared" ref="H338:H341" si="164">TRUNC((G338*E338),2)</f>
        <v>1180.6500000000001</v>
      </c>
    </row>
    <row r="339" spans="1:8" s="57" customFormat="1" ht="78.75" outlineLevel="2" x14ac:dyDescent="0.25">
      <c r="A339" s="135" t="s">
        <v>3052</v>
      </c>
      <c r="B339" s="234" t="s">
        <v>3017</v>
      </c>
      <c r="C339" s="143" t="s">
        <v>2139</v>
      </c>
      <c r="D339" s="116" t="s">
        <v>71</v>
      </c>
      <c r="E339" s="116">
        <v>98</v>
      </c>
      <c r="F339" s="145">
        <v>11.76</v>
      </c>
      <c r="G339" s="48">
        <f t="shared" si="163"/>
        <v>14.9</v>
      </c>
      <c r="H339" s="48">
        <f t="shared" si="164"/>
        <v>1460.2</v>
      </c>
    </row>
    <row r="340" spans="1:8" s="57" customFormat="1" ht="78.75" outlineLevel="2" x14ac:dyDescent="0.25">
      <c r="A340" s="135" t="s">
        <v>3053</v>
      </c>
      <c r="B340" s="234" t="s">
        <v>3018</v>
      </c>
      <c r="C340" s="143" t="s">
        <v>2147</v>
      </c>
      <c r="D340" s="116" t="s">
        <v>71</v>
      </c>
      <c r="E340" s="116">
        <v>2</v>
      </c>
      <c r="F340" s="145">
        <v>10.38</v>
      </c>
      <c r="G340" s="48">
        <f t="shared" si="163"/>
        <v>13.15</v>
      </c>
      <c r="H340" s="48">
        <f t="shared" si="164"/>
        <v>26.3</v>
      </c>
    </row>
    <row r="341" spans="1:8" s="57" customFormat="1" ht="78.75" outlineLevel="2" x14ac:dyDescent="0.25">
      <c r="A341" s="135" t="s">
        <v>3054</v>
      </c>
      <c r="B341" s="234" t="s">
        <v>3050</v>
      </c>
      <c r="C341" s="143" t="s">
        <v>2150</v>
      </c>
      <c r="D341" s="116" t="s">
        <v>71</v>
      </c>
      <c r="E341" s="116">
        <v>265</v>
      </c>
      <c r="F341" s="145">
        <v>8.3800000000000008</v>
      </c>
      <c r="G341" s="48">
        <f t="shared" si="163"/>
        <v>10.61</v>
      </c>
      <c r="H341" s="48">
        <f t="shared" si="164"/>
        <v>2811.65</v>
      </c>
    </row>
    <row r="342" spans="1:8" s="57" customFormat="1" outlineLevel="2" x14ac:dyDescent="0.25">
      <c r="A342" s="62"/>
      <c r="B342" s="62"/>
      <c r="C342" s="90" t="s">
        <v>13</v>
      </c>
      <c r="D342" s="62"/>
      <c r="E342" s="64"/>
      <c r="F342" s="64"/>
      <c r="G342" s="65"/>
      <c r="H342" s="65">
        <f>SUM(H337:H341)</f>
        <v>7617.8700000000008</v>
      </c>
    </row>
    <row r="343" spans="1:8" s="57" customFormat="1" outlineLevel="2" x14ac:dyDescent="0.25">
      <c r="A343" s="119" t="s">
        <v>487</v>
      </c>
      <c r="B343" s="61"/>
      <c r="C343" s="129" t="s">
        <v>3055</v>
      </c>
      <c r="D343" s="61"/>
      <c r="E343" s="55"/>
      <c r="F343" s="56"/>
      <c r="G343" s="56"/>
      <c r="H343" s="56"/>
    </row>
    <row r="344" spans="1:8" s="57" customFormat="1" ht="78.75" outlineLevel="2" x14ac:dyDescent="0.25">
      <c r="A344" s="135" t="s">
        <v>3056</v>
      </c>
      <c r="B344" s="234">
        <v>92430</v>
      </c>
      <c r="C344" s="143" t="s">
        <v>584</v>
      </c>
      <c r="D344" s="116" t="s">
        <v>77</v>
      </c>
      <c r="E344" s="116">
        <v>604.23</v>
      </c>
      <c r="F344" s="145">
        <v>38.49</v>
      </c>
      <c r="G344" s="48">
        <f t="shared" ref="G344" si="165">TRUNC(F344*(1+$E$3),2)</f>
        <v>48.77</v>
      </c>
      <c r="H344" s="48">
        <f t="shared" ref="H344" si="166">TRUNC((G344*E344),2)</f>
        <v>29468.29</v>
      </c>
    </row>
    <row r="345" spans="1:8" s="57" customFormat="1" ht="47.25" outlineLevel="2" x14ac:dyDescent="0.25">
      <c r="A345" s="135" t="s">
        <v>3057</v>
      </c>
      <c r="B345" s="135" t="s">
        <v>577</v>
      </c>
      <c r="C345" s="143" t="s">
        <v>578</v>
      </c>
      <c r="D345" s="116" t="s">
        <v>153</v>
      </c>
      <c r="E345" s="116">
        <v>38.61</v>
      </c>
      <c r="F345" s="145">
        <v>388.18</v>
      </c>
      <c r="G345" s="48">
        <f t="shared" ref="G345:G349" si="167">TRUNC(F345*(1+$E$3),2)</f>
        <v>491.94</v>
      </c>
      <c r="H345" s="48">
        <f t="shared" ref="H345:H349" si="168">TRUNC((G345*E345),2)</f>
        <v>18993.8</v>
      </c>
    </row>
    <row r="346" spans="1:8" s="57" customFormat="1" ht="63" outlineLevel="2" x14ac:dyDescent="0.25">
      <c r="A346" s="135" t="s">
        <v>3058</v>
      </c>
      <c r="B346" s="234">
        <v>92775</v>
      </c>
      <c r="C346" s="143" t="s">
        <v>1820</v>
      </c>
      <c r="D346" s="116" t="s">
        <v>71</v>
      </c>
      <c r="E346" s="116">
        <v>963</v>
      </c>
      <c r="F346" s="145">
        <v>12.73</v>
      </c>
      <c r="G346" s="48">
        <f t="shared" ref="G346:G347" si="169">TRUNC(F346*(1+$E$3),2)</f>
        <v>16.13</v>
      </c>
      <c r="H346" s="48">
        <f t="shared" ref="H346:H347" si="170">TRUNC((G346*E346),2)</f>
        <v>15533.19</v>
      </c>
    </row>
    <row r="347" spans="1:8" s="57" customFormat="1" ht="63" outlineLevel="2" x14ac:dyDescent="0.25">
      <c r="A347" s="135" t="s">
        <v>3059</v>
      </c>
      <c r="B347" s="234">
        <v>92777</v>
      </c>
      <c r="C347" s="143" t="s">
        <v>2178</v>
      </c>
      <c r="D347" s="116" t="s">
        <v>71</v>
      </c>
      <c r="E347" s="116">
        <v>103</v>
      </c>
      <c r="F347" s="145">
        <v>10.94</v>
      </c>
      <c r="G347" s="48">
        <f t="shared" si="169"/>
        <v>13.86</v>
      </c>
      <c r="H347" s="48">
        <f t="shared" si="170"/>
        <v>1427.58</v>
      </c>
    </row>
    <row r="348" spans="1:8" s="57" customFormat="1" ht="63" outlineLevel="2" x14ac:dyDescent="0.25">
      <c r="A348" s="135" t="s">
        <v>3060</v>
      </c>
      <c r="B348" s="234">
        <v>92778</v>
      </c>
      <c r="C348" s="143" t="s">
        <v>2174</v>
      </c>
      <c r="D348" s="116" t="s">
        <v>71</v>
      </c>
      <c r="E348" s="116">
        <v>1975</v>
      </c>
      <c r="F348" s="145">
        <v>8.86</v>
      </c>
      <c r="G348" s="48">
        <f t="shared" si="167"/>
        <v>11.22</v>
      </c>
      <c r="H348" s="48">
        <f t="shared" si="168"/>
        <v>22159.5</v>
      </c>
    </row>
    <row r="349" spans="1:8" s="57" customFormat="1" ht="63" outlineLevel="2" x14ac:dyDescent="0.25">
      <c r="A349" s="135" t="s">
        <v>3061</v>
      </c>
      <c r="B349" s="234">
        <v>92779</v>
      </c>
      <c r="C349" s="143" t="s">
        <v>585</v>
      </c>
      <c r="D349" s="116" t="s">
        <v>71</v>
      </c>
      <c r="E349" s="116">
        <v>167</v>
      </c>
      <c r="F349" s="145">
        <v>7.34</v>
      </c>
      <c r="G349" s="48">
        <f t="shared" si="167"/>
        <v>9.3000000000000007</v>
      </c>
      <c r="H349" s="48">
        <f t="shared" si="168"/>
        <v>1553.1</v>
      </c>
    </row>
    <row r="350" spans="1:8" s="57" customFormat="1" outlineLevel="2" x14ac:dyDescent="0.25">
      <c r="A350" s="62"/>
      <c r="B350" s="62"/>
      <c r="C350" s="90" t="s">
        <v>13</v>
      </c>
      <c r="D350" s="62"/>
      <c r="E350" s="64"/>
      <c r="F350" s="64"/>
      <c r="G350" s="65"/>
      <c r="H350" s="65">
        <f>SUM(H344:H349)</f>
        <v>89135.46</v>
      </c>
    </row>
    <row r="351" spans="1:8" s="57" customFormat="1" outlineLevel="2" x14ac:dyDescent="0.25">
      <c r="A351" s="119" t="s">
        <v>488</v>
      </c>
      <c r="B351" s="61"/>
      <c r="C351" s="129" t="s">
        <v>3062</v>
      </c>
      <c r="D351" s="61"/>
      <c r="E351" s="55"/>
      <c r="F351" s="56"/>
      <c r="G351" s="56"/>
      <c r="H351" s="56"/>
    </row>
    <row r="352" spans="1:8" s="57" customFormat="1" ht="63" outlineLevel="2" x14ac:dyDescent="0.25">
      <c r="A352" s="135" t="s">
        <v>3065</v>
      </c>
      <c r="B352" s="234">
        <v>92468</v>
      </c>
      <c r="C352" s="143" t="s">
        <v>587</v>
      </c>
      <c r="D352" s="116" t="s">
        <v>77</v>
      </c>
      <c r="E352" s="116">
        <v>1361.58</v>
      </c>
      <c r="F352" s="145">
        <v>59.2</v>
      </c>
      <c r="G352" s="48">
        <f t="shared" ref="G352:G355" si="171">TRUNC(F352*(1+$E$3),2)</f>
        <v>75.02</v>
      </c>
      <c r="H352" s="48">
        <f t="shared" ref="H352:H355" si="172">TRUNC((G352*E352),2)</f>
        <v>102145.73</v>
      </c>
    </row>
    <row r="353" spans="1:8" s="57" customFormat="1" ht="47.25" outlineLevel="2" x14ac:dyDescent="0.25">
      <c r="A353" s="135" t="s">
        <v>3066</v>
      </c>
      <c r="B353" s="135" t="s">
        <v>577</v>
      </c>
      <c r="C353" s="143" t="s">
        <v>578</v>
      </c>
      <c r="D353" s="116" t="s">
        <v>153</v>
      </c>
      <c r="E353" s="116">
        <v>105.34</v>
      </c>
      <c r="F353" s="145">
        <v>388.18</v>
      </c>
      <c r="G353" s="48">
        <f t="shared" si="171"/>
        <v>491.94</v>
      </c>
      <c r="H353" s="48">
        <f t="shared" si="172"/>
        <v>51820.95</v>
      </c>
    </row>
    <row r="354" spans="1:8" s="57" customFormat="1" ht="63" outlineLevel="2" x14ac:dyDescent="0.25">
      <c r="A354" s="135" t="s">
        <v>3067</v>
      </c>
      <c r="B354" s="234">
        <v>92775</v>
      </c>
      <c r="C354" s="143" t="s">
        <v>1820</v>
      </c>
      <c r="D354" s="116" t="s">
        <v>71</v>
      </c>
      <c r="E354" s="116">
        <v>1261</v>
      </c>
      <c r="F354" s="145">
        <v>12.73</v>
      </c>
      <c r="G354" s="48">
        <f t="shared" si="171"/>
        <v>16.13</v>
      </c>
      <c r="H354" s="48">
        <f t="shared" si="172"/>
        <v>20339.93</v>
      </c>
    </row>
    <row r="355" spans="1:8" s="57" customFormat="1" ht="63" outlineLevel="2" x14ac:dyDescent="0.25">
      <c r="A355" s="135" t="s">
        <v>3068</v>
      </c>
      <c r="B355" s="234">
        <v>92776</v>
      </c>
      <c r="C355" s="143" t="s">
        <v>3063</v>
      </c>
      <c r="D355" s="116" t="s">
        <v>71</v>
      </c>
      <c r="E355" s="116">
        <v>952</v>
      </c>
      <c r="F355" s="145">
        <v>11.54</v>
      </c>
      <c r="G355" s="48">
        <f t="shared" si="171"/>
        <v>14.62</v>
      </c>
      <c r="H355" s="48">
        <f t="shared" si="172"/>
        <v>13918.24</v>
      </c>
    </row>
    <row r="356" spans="1:8" s="57" customFormat="1" ht="63" outlineLevel="2" x14ac:dyDescent="0.25">
      <c r="A356" s="135" t="s">
        <v>3069</v>
      </c>
      <c r="B356" s="234">
        <v>92777</v>
      </c>
      <c r="C356" s="143" t="s">
        <v>2178</v>
      </c>
      <c r="D356" s="116" t="s">
        <v>71</v>
      </c>
      <c r="E356" s="116">
        <v>817</v>
      </c>
      <c r="F356" s="145">
        <v>10.94</v>
      </c>
      <c r="G356" s="48">
        <f t="shared" ref="G356" si="173">TRUNC(F356*(1+$E$3),2)</f>
        <v>13.86</v>
      </c>
      <c r="H356" s="48">
        <f t="shared" ref="H356" si="174">TRUNC((G356*E356),2)</f>
        <v>11323.62</v>
      </c>
    </row>
    <row r="357" spans="1:8" s="57" customFormat="1" ht="63" outlineLevel="2" x14ac:dyDescent="0.25">
      <c r="A357" s="135" t="s">
        <v>3070</v>
      </c>
      <c r="B357" s="234">
        <v>92778</v>
      </c>
      <c r="C357" s="143" t="s">
        <v>2174</v>
      </c>
      <c r="D357" s="116" t="s">
        <v>71</v>
      </c>
      <c r="E357" s="116">
        <v>2825</v>
      </c>
      <c r="F357" s="145">
        <v>8.86</v>
      </c>
      <c r="G357" s="48">
        <f t="shared" ref="G357:G359" si="175">TRUNC(F357*(1+$E$3),2)</f>
        <v>11.22</v>
      </c>
      <c r="H357" s="48">
        <f t="shared" ref="H357:H359" si="176">TRUNC((G357*E357),2)</f>
        <v>31696.5</v>
      </c>
    </row>
    <row r="358" spans="1:8" s="57" customFormat="1" ht="63" outlineLevel="2" x14ac:dyDescent="0.25">
      <c r="A358" s="135" t="s">
        <v>3071</v>
      </c>
      <c r="B358" s="234">
        <v>92779</v>
      </c>
      <c r="C358" s="143" t="s">
        <v>585</v>
      </c>
      <c r="D358" s="116" t="s">
        <v>71</v>
      </c>
      <c r="E358" s="116">
        <v>318</v>
      </c>
      <c r="F358" s="145">
        <v>7.34</v>
      </c>
      <c r="G358" s="48">
        <f t="shared" si="175"/>
        <v>9.3000000000000007</v>
      </c>
      <c r="H358" s="48">
        <f t="shared" si="176"/>
        <v>2957.4</v>
      </c>
    </row>
    <row r="359" spans="1:8" s="57" customFormat="1" ht="63" outlineLevel="2" x14ac:dyDescent="0.25">
      <c r="A359" s="135" t="s">
        <v>3072</v>
      </c>
      <c r="B359" s="234">
        <v>92780</v>
      </c>
      <c r="C359" s="143" t="s">
        <v>3064</v>
      </c>
      <c r="D359" s="116" t="s">
        <v>71</v>
      </c>
      <c r="E359" s="116">
        <v>135</v>
      </c>
      <c r="F359" s="145">
        <v>5.83</v>
      </c>
      <c r="G359" s="48">
        <f t="shared" si="175"/>
        <v>7.38</v>
      </c>
      <c r="H359" s="48">
        <f t="shared" si="176"/>
        <v>996.3</v>
      </c>
    </row>
    <row r="360" spans="1:8" s="57" customFormat="1" outlineLevel="2" x14ac:dyDescent="0.25">
      <c r="A360" s="62"/>
      <c r="B360" s="62"/>
      <c r="C360" s="90" t="s">
        <v>13</v>
      </c>
      <c r="D360" s="62"/>
      <c r="E360" s="64"/>
      <c r="F360" s="64"/>
      <c r="G360" s="65"/>
      <c r="H360" s="65">
        <f>SUM(H352:H359)</f>
        <v>235198.66999999995</v>
      </c>
    </row>
    <row r="361" spans="1:8" s="57" customFormat="1" outlineLevel="2" x14ac:dyDescent="0.25">
      <c r="A361" s="123" t="s">
        <v>489</v>
      </c>
      <c r="B361" s="123"/>
      <c r="C361" s="124" t="s">
        <v>3073</v>
      </c>
      <c r="D361" s="123"/>
      <c r="E361" s="126"/>
      <c r="F361" s="126"/>
      <c r="G361" s="127"/>
      <c r="H361" s="126"/>
    </row>
    <row r="362" spans="1:8" s="57" customFormat="1" ht="47.25" outlineLevel="2" x14ac:dyDescent="0.25">
      <c r="A362" s="53" t="s">
        <v>3077</v>
      </c>
      <c r="B362" s="234" t="s">
        <v>3074</v>
      </c>
      <c r="C362" s="143" t="s">
        <v>3075</v>
      </c>
      <c r="D362" s="135" t="s">
        <v>77</v>
      </c>
      <c r="E362" s="144">
        <v>963.47</v>
      </c>
      <c r="F362" s="145">
        <v>89.79</v>
      </c>
      <c r="G362" s="48">
        <f t="shared" ref="G362" si="177">TRUNC(F362*(1+$E$3),2)</f>
        <v>113.79</v>
      </c>
      <c r="H362" s="48">
        <f t="shared" ref="H362" si="178">TRUNC((G362*E362),2)</f>
        <v>109633.25</v>
      </c>
    </row>
    <row r="363" spans="1:8" s="57" customFormat="1" ht="31.5" outlineLevel="2" x14ac:dyDescent="0.25">
      <c r="A363" s="53" t="s">
        <v>3076</v>
      </c>
      <c r="B363" s="234">
        <v>85662</v>
      </c>
      <c r="C363" s="143" t="s">
        <v>579</v>
      </c>
      <c r="D363" s="135" t="s">
        <v>77</v>
      </c>
      <c r="E363" s="144">
        <v>2361.6799999999998</v>
      </c>
      <c r="F363" s="145">
        <v>11.6</v>
      </c>
      <c r="G363" s="48">
        <f t="shared" ref="G363" si="179">TRUNC(F363*(1+$E$3),2)</f>
        <v>14.7</v>
      </c>
      <c r="H363" s="48">
        <f t="shared" ref="H363" si="180">TRUNC((G363*E363),2)</f>
        <v>34716.69</v>
      </c>
    </row>
    <row r="364" spans="1:8" s="57" customFormat="1" outlineLevel="1" x14ac:dyDescent="0.25">
      <c r="A364" s="92"/>
      <c r="B364" s="62"/>
      <c r="C364" s="63" t="s">
        <v>13</v>
      </c>
      <c r="D364" s="62"/>
      <c r="E364" s="64"/>
      <c r="F364" s="64"/>
      <c r="G364" s="65"/>
      <c r="H364" s="65">
        <f>SUM(H362:H363)</f>
        <v>144349.94</v>
      </c>
    </row>
    <row r="365" spans="1:8" s="57" customFormat="1" outlineLevel="2" x14ac:dyDescent="0.25">
      <c r="A365" s="119" t="s">
        <v>3078</v>
      </c>
      <c r="B365" s="61"/>
      <c r="C365" s="129" t="s">
        <v>3084</v>
      </c>
      <c r="D365" s="61"/>
      <c r="E365" s="55"/>
      <c r="F365" s="56"/>
      <c r="G365" s="56"/>
      <c r="H365" s="56"/>
    </row>
    <row r="366" spans="1:8" s="91" customFormat="1" ht="47.25" outlineLevel="2" x14ac:dyDescent="0.25">
      <c r="A366" s="135" t="s">
        <v>3079</v>
      </c>
      <c r="B366" s="234" t="s">
        <v>265</v>
      </c>
      <c r="C366" s="143" t="s">
        <v>264</v>
      </c>
      <c r="D366" s="116" t="s">
        <v>71</v>
      </c>
      <c r="E366" s="116">
        <v>33535.83</v>
      </c>
      <c r="F366" s="145">
        <v>7.39</v>
      </c>
      <c r="G366" s="48">
        <f t="shared" ref="G366" si="181">TRUNC(F366*(1+$E$3),2)</f>
        <v>9.36</v>
      </c>
      <c r="H366" s="48">
        <f t="shared" ref="H366" si="182">TRUNC((G366*E366),2)</f>
        <v>313895.36</v>
      </c>
    </row>
    <row r="367" spans="1:8" s="57" customFormat="1" outlineLevel="2" x14ac:dyDescent="0.25">
      <c r="A367" s="135" t="s">
        <v>3080</v>
      </c>
      <c r="B367" s="135" t="s">
        <v>267</v>
      </c>
      <c r="C367" s="143" t="s">
        <v>266</v>
      </c>
      <c r="D367" s="116" t="s">
        <v>71</v>
      </c>
      <c r="E367" s="116">
        <v>33535.83</v>
      </c>
      <c r="F367" s="145">
        <v>2.12</v>
      </c>
      <c r="G367" s="48">
        <f t="shared" ref="G367:G369" si="183">TRUNC(F367*(1+$E$3),2)</f>
        <v>2.68</v>
      </c>
      <c r="H367" s="48">
        <f t="shared" ref="H367:H369" si="184">TRUNC((G367*E367),2)</f>
        <v>89876.02</v>
      </c>
    </row>
    <row r="368" spans="1:8" s="91" customFormat="1" ht="31.5" outlineLevel="2" x14ac:dyDescent="0.25">
      <c r="A368" s="135" t="s">
        <v>3081</v>
      </c>
      <c r="B368" s="234" t="s">
        <v>502</v>
      </c>
      <c r="C368" s="143" t="s">
        <v>503</v>
      </c>
      <c r="D368" s="116" t="s">
        <v>77</v>
      </c>
      <c r="E368" s="116">
        <v>1772.04</v>
      </c>
      <c r="F368" s="145">
        <v>21.2</v>
      </c>
      <c r="G368" s="48">
        <f t="shared" si="183"/>
        <v>26.86</v>
      </c>
      <c r="H368" s="48">
        <f t="shared" si="184"/>
        <v>47596.99</v>
      </c>
    </row>
    <row r="369" spans="1:8" s="57" customFormat="1" ht="78.75" outlineLevel="2" x14ac:dyDescent="0.25">
      <c r="A369" s="135" t="s">
        <v>3082</v>
      </c>
      <c r="B369" s="234">
        <v>92922</v>
      </c>
      <c r="C369" s="143" t="s">
        <v>504</v>
      </c>
      <c r="D369" s="116" t="s">
        <v>71</v>
      </c>
      <c r="E369" s="116">
        <v>308.18</v>
      </c>
      <c r="F369" s="145">
        <v>5.63</v>
      </c>
      <c r="G369" s="48">
        <f t="shared" si="183"/>
        <v>7.13</v>
      </c>
      <c r="H369" s="48">
        <f t="shared" si="184"/>
        <v>2197.3200000000002</v>
      </c>
    </row>
    <row r="370" spans="1:8" s="91" customFormat="1" outlineLevel="2" x14ac:dyDescent="0.25">
      <c r="A370" s="62"/>
      <c r="B370" s="62"/>
      <c r="C370" s="90" t="s">
        <v>13</v>
      </c>
      <c r="D370" s="62"/>
      <c r="E370" s="64"/>
      <c r="F370" s="64"/>
      <c r="G370" s="65"/>
      <c r="H370" s="65">
        <f>SUM(H366:H369)</f>
        <v>453565.69</v>
      </c>
    </row>
    <row r="371" spans="1:8" s="57" customFormat="1" outlineLevel="1" x14ac:dyDescent="0.25">
      <c r="A371" s="119" t="s">
        <v>3083</v>
      </c>
      <c r="B371" s="61"/>
      <c r="C371" s="129" t="s">
        <v>591</v>
      </c>
      <c r="D371" s="61"/>
      <c r="E371" s="55"/>
      <c r="F371" s="56"/>
      <c r="G371" s="56"/>
      <c r="H371" s="56"/>
    </row>
    <row r="372" spans="1:8" s="57" customFormat="1" ht="94.5" outlineLevel="1" x14ac:dyDescent="0.25">
      <c r="A372" s="135" t="s">
        <v>3089</v>
      </c>
      <c r="B372" s="234">
        <v>90091</v>
      </c>
      <c r="C372" s="143" t="s">
        <v>3085</v>
      </c>
      <c r="D372" s="116" t="s">
        <v>153</v>
      </c>
      <c r="E372" s="116">
        <v>377.96</v>
      </c>
      <c r="F372" s="145">
        <v>4.75</v>
      </c>
      <c r="G372" s="48">
        <f t="shared" ref="G372:G378" si="185">TRUNC(F372*(1+$E$3),2)</f>
        <v>6.01</v>
      </c>
      <c r="H372" s="48">
        <f t="shared" ref="H372:H378" si="186">TRUNC((G372*E372),2)</f>
        <v>2271.5300000000002</v>
      </c>
    </row>
    <row r="373" spans="1:8" s="57" customFormat="1" ht="94.5" outlineLevel="1" x14ac:dyDescent="0.25">
      <c r="A373" s="135" t="s">
        <v>3090</v>
      </c>
      <c r="B373" s="234">
        <v>90093</v>
      </c>
      <c r="C373" s="143" t="s">
        <v>3086</v>
      </c>
      <c r="D373" s="116" t="s">
        <v>153</v>
      </c>
      <c r="E373" s="116">
        <v>833.77</v>
      </c>
      <c r="F373" s="145">
        <v>2.95</v>
      </c>
      <c r="G373" s="48">
        <f t="shared" si="185"/>
        <v>3.73</v>
      </c>
      <c r="H373" s="48">
        <f t="shared" si="186"/>
        <v>3109.96</v>
      </c>
    </row>
    <row r="374" spans="1:8" s="57" customFormat="1" ht="47.25" outlineLevel="1" x14ac:dyDescent="0.25">
      <c r="A374" s="135" t="s">
        <v>3091</v>
      </c>
      <c r="B374" s="234">
        <v>94099</v>
      </c>
      <c r="C374" s="143" t="s">
        <v>576</v>
      </c>
      <c r="D374" s="116" t="s">
        <v>77</v>
      </c>
      <c r="E374" s="116">
        <v>528.45000000000005</v>
      </c>
      <c r="F374" s="145">
        <v>2.0499999999999998</v>
      </c>
      <c r="G374" s="48">
        <f t="shared" si="185"/>
        <v>2.59</v>
      </c>
      <c r="H374" s="48">
        <f t="shared" si="186"/>
        <v>1368.68</v>
      </c>
    </row>
    <row r="375" spans="1:8" s="57" customFormat="1" ht="31.5" outlineLevel="1" x14ac:dyDescent="0.25">
      <c r="A375" s="135" t="s">
        <v>3092</v>
      </c>
      <c r="B375" s="234">
        <v>95241</v>
      </c>
      <c r="C375" s="143" t="s">
        <v>245</v>
      </c>
      <c r="D375" s="116" t="s">
        <v>77</v>
      </c>
      <c r="E375" s="116">
        <v>528.45000000000005</v>
      </c>
      <c r="F375" s="145">
        <v>18.96</v>
      </c>
      <c r="G375" s="48">
        <f t="shared" si="185"/>
        <v>24.02</v>
      </c>
      <c r="H375" s="48">
        <f t="shared" si="186"/>
        <v>12693.36</v>
      </c>
    </row>
    <row r="376" spans="1:8" s="57" customFormat="1" ht="47.25" outlineLevel="1" x14ac:dyDescent="0.25">
      <c r="A376" s="135" t="s">
        <v>3093</v>
      </c>
      <c r="B376" s="234">
        <v>96533</v>
      </c>
      <c r="C376" s="143" t="s">
        <v>581</v>
      </c>
      <c r="D376" s="116" t="s">
        <v>77</v>
      </c>
      <c r="E376" s="116">
        <v>1095.1199999999999</v>
      </c>
      <c r="F376" s="145">
        <v>48.4</v>
      </c>
      <c r="G376" s="48">
        <f t="shared" si="185"/>
        <v>61.33</v>
      </c>
      <c r="H376" s="48">
        <f t="shared" si="186"/>
        <v>67163.7</v>
      </c>
    </row>
    <row r="377" spans="1:8" s="57" customFormat="1" ht="78.75" outlineLevel="1" x14ac:dyDescent="0.25">
      <c r="A377" s="135" t="s">
        <v>3094</v>
      </c>
      <c r="B377" s="234">
        <v>92917</v>
      </c>
      <c r="C377" s="143" t="s">
        <v>582</v>
      </c>
      <c r="D377" s="116" t="s">
        <v>71</v>
      </c>
      <c r="E377" s="116">
        <v>1153.7</v>
      </c>
      <c r="F377" s="145">
        <v>10.38</v>
      </c>
      <c r="G377" s="48">
        <f t="shared" si="185"/>
        <v>13.15</v>
      </c>
      <c r="H377" s="48">
        <f t="shared" si="186"/>
        <v>15171.15</v>
      </c>
    </row>
    <row r="378" spans="1:8" s="57" customFormat="1" ht="78.75" outlineLevel="1" x14ac:dyDescent="0.25">
      <c r="A378" s="135" t="s">
        <v>3095</v>
      </c>
      <c r="B378" s="234">
        <v>92919</v>
      </c>
      <c r="C378" s="143" t="s">
        <v>500</v>
      </c>
      <c r="D378" s="116" t="s">
        <v>71</v>
      </c>
      <c r="E378" s="116">
        <v>9471.76</v>
      </c>
      <c r="F378" s="145">
        <v>8.4499999999999993</v>
      </c>
      <c r="G378" s="48">
        <f t="shared" si="185"/>
        <v>10.7</v>
      </c>
      <c r="H378" s="48">
        <f t="shared" si="186"/>
        <v>101347.83</v>
      </c>
    </row>
    <row r="379" spans="1:8" s="57" customFormat="1" ht="78.75" outlineLevel="1" x14ac:dyDescent="0.25">
      <c r="A379" s="135" t="s">
        <v>3096</v>
      </c>
      <c r="B379" s="234">
        <v>92921</v>
      </c>
      <c r="C379" s="143" t="s">
        <v>580</v>
      </c>
      <c r="D379" s="116" t="s">
        <v>71</v>
      </c>
      <c r="E379" s="116">
        <v>3671.64</v>
      </c>
      <c r="F379" s="145">
        <v>7.05</v>
      </c>
      <c r="G379" s="48">
        <f t="shared" ref="G379" si="187">TRUNC(F379*(1+$E$3),2)</f>
        <v>8.93</v>
      </c>
      <c r="H379" s="48">
        <f t="shared" ref="H379" si="188">TRUNC((G379*E379),2)</f>
        <v>32787.74</v>
      </c>
    </row>
    <row r="380" spans="1:8" s="57" customFormat="1" ht="47.25" outlineLevel="2" x14ac:dyDescent="0.25">
      <c r="A380" s="135" t="s">
        <v>3097</v>
      </c>
      <c r="B380" s="135" t="s">
        <v>577</v>
      </c>
      <c r="C380" s="143" t="s">
        <v>578</v>
      </c>
      <c r="D380" s="116" t="s">
        <v>153</v>
      </c>
      <c r="E380" s="116">
        <v>272.89</v>
      </c>
      <c r="F380" s="145">
        <v>388.18</v>
      </c>
      <c r="G380" s="48">
        <f t="shared" ref="G380:G384" si="189">TRUNC(F380*(1+$E$3),2)</f>
        <v>491.94</v>
      </c>
      <c r="H380" s="48">
        <f t="shared" ref="H380:H384" si="190">TRUNC((G380*E380),2)</f>
        <v>134245.5</v>
      </c>
    </row>
    <row r="381" spans="1:8" s="57" customFormat="1" ht="94.5" outlineLevel="2" x14ac:dyDescent="0.25">
      <c r="A381" s="135" t="s">
        <v>3098</v>
      </c>
      <c r="B381" s="234">
        <v>93367</v>
      </c>
      <c r="C381" s="143" t="s">
        <v>3087</v>
      </c>
      <c r="D381" s="116" t="s">
        <v>153</v>
      </c>
      <c r="E381" s="116">
        <v>292.83999999999997</v>
      </c>
      <c r="F381" s="145">
        <v>11.76</v>
      </c>
      <c r="G381" s="48">
        <f t="shared" ref="G381:G382" si="191">TRUNC(F381*(1+$E$3),2)</f>
        <v>14.9</v>
      </c>
      <c r="H381" s="48">
        <f t="shared" ref="H381:H382" si="192">TRUNC((G381*E381),2)</f>
        <v>4363.3100000000004</v>
      </c>
    </row>
    <row r="382" spans="1:8" s="57" customFormat="1" ht="94.5" outlineLevel="2" x14ac:dyDescent="0.25">
      <c r="A382" s="135" t="s">
        <v>3099</v>
      </c>
      <c r="B382" s="234">
        <v>93369</v>
      </c>
      <c r="C382" s="143" t="s">
        <v>3088</v>
      </c>
      <c r="D382" s="116" t="s">
        <v>153</v>
      </c>
      <c r="E382" s="116">
        <v>646</v>
      </c>
      <c r="F382" s="145">
        <v>6.72</v>
      </c>
      <c r="G382" s="48">
        <f t="shared" si="191"/>
        <v>8.51</v>
      </c>
      <c r="H382" s="48">
        <f t="shared" si="192"/>
        <v>5497.46</v>
      </c>
    </row>
    <row r="383" spans="1:8" s="57" customFormat="1" ht="31.5" outlineLevel="2" x14ac:dyDescent="0.25">
      <c r="A383" s="135" t="s">
        <v>3100</v>
      </c>
      <c r="B383" s="234">
        <v>72898</v>
      </c>
      <c r="C383" s="143" t="s">
        <v>483</v>
      </c>
      <c r="D383" s="116" t="s">
        <v>153</v>
      </c>
      <c r="E383" s="116">
        <v>354.76</v>
      </c>
      <c r="F383" s="145">
        <v>3.15</v>
      </c>
      <c r="G383" s="48">
        <f t="shared" si="189"/>
        <v>3.99</v>
      </c>
      <c r="H383" s="48">
        <f t="shared" si="190"/>
        <v>1415.49</v>
      </c>
    </row>
    <row r="384" spans="1:8" s="57" customFormat="1" ht="47.25" outlineLevel="2" x14ac:dyDescent="0.25">
      <c r="A384" s="135" t="s">
        <v>3101</v>
      </c>
      <c r="B384" s="234">
        <v>95302</v>
      </c>
      <c r="C384" s="143" t="s">
        <v>247</v>
      </c>
      <c r="D384" s="116" t="s">
        <v>484</v>
      </c>
      <c r="E384" s="116">
        <v>3547.6</v>
      </c>
      <c r="F384" s="145">
        <v>1.28</v>
      </c>
      <c r="G384" s="48">
        <f t="shared" si="189"/>
        <v>1.62</v>
      </c>
      <c r="H384" s="48">
        <f t="shared" si="190"/>
        <v>5747.11</v>
      </c>
    </row>
    <row r="385" spans="1:8" s="57" customFormat="1" outlineLevel="2" x14ac:dyDescent="0.25">
      <c r="A385" s="62"/>
      <c r="B385" s="62"/>
      <c r="C385" s="90" t="s">
        <v>13</v>
      </c>
      <c r="D385" s="62"/>
      <c r="E385" s="64"/>
      <c r="F385" s="64"/>
      <c r="G385" s="65"/>
      <c r="H385" s="65">
        <f>SUM(H372:H384)</f>
        <v>387182.81999999995</v>
      </c>
    </row>
    <row r="386" spans="1:8" s="57" customFormat="1" outlineLevel="2" x14ac:dyDescent="0.25">
      <c r="A386" s="62"/>
      <c r="B386" s="62"/>
      <c r="C386" s="753" t="s">
        <v>3366</v>
      </c>
      <c r="D386" s="753"/>
      <c r="E386" s="64"/>
      <c r="F386" s="64"/>
      <c r="G386" s="65"/>
      <c r="H386" s="65">
        <f>SUM(H385,H370,H364,H360,H350,H342,H335,H327,H319,H313,H297)</f>
        <v>1929491.42</v>
      </c>
    </row>
    <row r="387" spans="1:8" s="57" customFormat="1" outlineLevel="2" x14ac:dyDescent="0.25">
      <c r="A387" s="119" t="s">
        <v>3102</v>
      </c>
      <c r="B387" s="61"/>
      <c r="C387" s="129" t="s">
        <v>3104</v>
      </c>
      <c r="D387" s="61"/>
      <c r="E387" s="55"/>
      <c r="F387" s="56"/>
      <c r="G387" s="56"/>
      <c r="H387" s="56"/>
    </row>
    <row r="388" spans="1:8" s="57" customFormat="1" outlineLevel="2" x14ac:dyDescent="0.25">
      <c r="A388" s="119" t="s">
        <v>3103</v>
      </c>
      <c r="B388" s="61"/>
      <c r="C388" s="129" t="s">
        <v>254</v>
      </c>
      <c r="D388" s="61"/>
      <c r="E388" s="55"/>
      <c r="F388" s="56"/>
      <c r="G388" s="56"/>
      <c r="H388" s="56"/>
    </row>
    <row r="389" spans="1:8" s="57" customFormat="1" ht="47.25" outlineLevel="2" x14ac:dyDescent="0.25">
      <c r="A389" s="135" t="s">
        <v>3105</v>
      </c>
      <c r="B389" s="234">
        <v>96521</v>
      </c>
      <c r="C389" s="143" t="s">
        <v>573</v>
      </c>
      <c r="D389" s="116" t="s">
        <v>153</v>
      </c>
      <c r="E389" s="116">
        <v>43.65</v>
      </c>
      <c r="F389" s="145">
        <v>26.98</v>
      </c>
      <c r="G389" s="48">
        <f t="shared" ref="G389" si="193">TRUNC(F389*(1+$E$3),2)</f>
        <v>34.19</v>
      </c>
      <c r="H389" s="48">
        <f t="shared" ref="H389" si="194">TRUNC((G389*E389),2)</f>
        <v>1492.39</v>
      </c>
    </row>
    <row r="390" spans="1:8" s="57" customFormat="1" ht="94.5" outlineLevel="2" x14ac:dyDescent="0.25">
      <c r="A390" s="135" t="s">
        <v>3106</v>
      </c>
      <c r="B390" s="234">
        <v>93368</v>
      </c>
      <c r="C390" s="143" t="s">
        <v>575</v>
      </c>
      <c r="D390" s="116" t="s">
        <v>153</v>
      </c>
      <c r="E390" s="116">
        <v>33.79</v>
      </c>
      <c r="F390" s="145">
        <v>9.5299999999999994</v>
      </c>
      <c r="G390" s="48">
        <f t="shared" ref="G390:G394" si="195">TRUNC(F390*(1+$E$3),2)</f>
        <v>12.07</v>
      </c>
      <c r="H390" s="48">
        <f t="shared" ref="H390:H394" si="196">TRUNC((G390*E390),2)</f>
        <v>407.84</v>
      </c>
    </row>
    <row r="391" spans="1:8" s="57" customFormat="1" ht="47.25" outlineLevel="2" x14ac:dyDescent="0.25">
      <c r="A391" s="135" t="s">
        <v>3107</v>
      </c>
      <c r="B391" s="234">
        <v>94099</v>
      </c>
      <c r="C391" s="143" t="s">
        <v>576</v>
      </c>
      <c r="D391" s="116" t="s">
        <v>77</v>
      </c>
      <c r="E391" s="116">
        <v>51.36</v>
      </c>
      <c r="F391" s="145">
        <v>2.0499999999999998</v>
      </c>
      <c r="G391" s="48">
        <f t="shared" ref="G391:G392" si="197">TRUNC(F391*(1+$E$3),2)</f>
        <v>2.59</v>
      </c>
      <c r="H391" s="48">
        <f t="shared" ref="H391:H392" si="198">TRUNC((G391*E391),2)</f>
        <v>133.02000000000001</v>
      </c>
    </row>
    <row r="392" spans="1:8" s="57" customFormat="1" ht="31.5" outlineLevel="2" x14ac:dyDescent="0.25">
      <c r="A392" s="135" t="s">
        <v>3108</v>
      </c>
      <c r="B392" s="234">
        <v>72898</v>
      </c>
      <c r="C392" s="143" t="s">
        <v>483</v>
      </c>
      <c r="D392" s="116" t="s">
        <v>153</v>
      </c>
      <c r="E392" s="116">
        <v>13.8</v>
      </c>
      <c r="F392" s="145">
        <v>3.15</v>
      </c>
      <c r="G392" s="48">
        <f t="shared" si="197"/>
        <v>3.99</v>
      </c>
      <c r="H392" s="48">
        <f t="shared" si="198"/>
        <v>55.06</v>
      </c>
    </row>
    <row r="393" spans="1:8" s="57" customFormat="1" ht="47.25" outlineLevel="2" x14ac:dyDescent="0.25">
      <c r="A393" s="135" t="s">
        <v>3109</v>
      </c>
      <c r="B393" s="234">
        <v>95302</v>
      </c>
      <c r="C393" s="143" t="s">
        <v>247</v>
      </c>
      <c r="D393" s="116" t="s">
        <v>484</v>
      </c>
      <c r="E393" s="116">
        <v>138</v>
      </c>
      <c r="F393" s="145">
        <v>1.28</v>
      </c>
      <c r="G393" s="48">
        <f t="shared" si="195"/>
        <v>1.62</v>
      </c>
      <c r="H393" s="48">
        <f t="shared" si="196"/>
        <v>223.56</v>
      </c>
    </row>
    <row r="394" spans="1:8" s="57" customFormat="1" ht="31.5" outlineLevel="1" x14ac:dyDescent="0.25">
      <c r="A394" s="135" t="s">
        <v>3110</v>
      </c>
      <c r="B394" s="234">
        <v>95241</v>
      </c>
      <c r="C394" s="143" t="s">
        <v>245</v>
      </c>
      <c r="D394" s="116" t="s">
        <v>77</v>
      </c>
      <c r="E394" s="116">
        <v>51.36</v>
      </c>
      <c r="F394" s="145">
        <v>18.96</v>
      </c>
      <c r="G394" s="48">
        <f t="shared" si="195"/>
        <v>24.02</v>
      </c>
      <c r="H394" s="48">
        <f t="shared" si="196"/>
        <v>1233.6600000000001</v>
      </c>
    </row>
    <row r="395" spans="1:8" s="57" customFormat="1" outlineLevel="1" x14ac:dyDescent="0.25">
      <c r="A395" s="62"/>
      <c r="B395" s="62"/>
      <c r="C395" s="90" t="s">
        <v>13</v>
      </c>
      <c r="D395" s="62"/>
      <c r="E395" s="64"/>
      <c r="F395" s="64"/>
      <c r="G395" s="65"/>
      <c r="H395" s="65">
        <f>SUM(H389:H394)</f>
        <v>3545.5299999999997</v>
      </c>
    </row>
    <row r="396" spans="1:8" s="57" customFormat="1" outlineLevel="2" x14ac:dyDescent="0.25">
      <c r="A396" s="119" t="s">
        <v>3111</v>
      </c>
      <c r="B396" s="61"/>
      <c r="C396" s="129" t="s">
        <v>1129</v>
      </c>
      <c r="D396" s="61"/>
      <c r="E396" s="55"/>
      <c r="F396" s="56"/>
      <c r="G396" s="56"/>
      <c r="H396" s="56"/>
    </row>
    <row r="397" spans="1:8" s="57" customFormat="1" ht="47.25" outlineLevel="2" x14ac:dyDescent="0.25">
      <c r="A397" s="135" t="s">
        <v>3112</v>
      </c>
      <c r="B397" s="234">
        <v>96531</v>
      </c>
      <c r="C397" s="143" t="s">
        <v>3029</v>
      </c>
      <c r="D397" s="116" t="s">
        <v>77</v>
      </c>
      <c r="E397" s="116">
        <v>12.32</v>
      </c>
      <c r="F397" s="145">
        <v>56.21</v>
      </c>
      <c r="G397" s="48">
        <f t="shared" ref="G397:G400" si="199">TRUNC(F397*(1+$E$3),2)</f>
        <v>71.23</v>
      </c>
      <c r="H397" s="48">
        <f t="shared" ref="H397:H400" si="200">TRUNC((G397*E397),2)</f>
        <v>877.55</v>
      </c>
    </row>
    <row r="398" spans="1:8" s="57" customFormat="1" ht="47.25" outlineLevel="2" x14ac:dyDescent="0.25">
      <c r="A398" s="135" t="s">
        <v>3113</v>
      </c>
      <c r="B398" s="234" t="s">
        <v>577</v>
      </c>
      <c r="C398" s="143" t="s">
        <v>578</v>
      </c>
      <c r="D398" s="116" t="s">
        <v>153</v>
      </c>
      <c r="E398" s="116">
        <v>3.56</v>
      </c>
      <c r="F398" s="145">
        <v>388.18</v>
      </c>
      <c r="G398" s="48">
        <f t="shared" si="199"/>
        <v>491.94</v>
      </c>
      <c r="H398" s="48">
        <f t="shared" si="200"/>
        <v>1751.3</v>
      </c>
    </row>
    <row r="399" spans="1:8" s="57" customFormat="1" ht="78.75" outlineLevel="2" x14ac:dyDescent="0.25">
      <c r="A399" s="135" t="s">
        <v>3114</v>
      </c>
      <c r="B399" s="234" t="s">
        <v>3017</v>
      </c>
      <c r="C399" s="143" t="s">
        <v>2139</v>
      </c>
      <c r="D399" s="116" t="s">
        <v>71</v>
      </c>
      <c r="E399" s="116">
        <v>97.29</v>
      </c>
      <c r="F399" s="145">
        <v>11.76</v>
      </c>
      <c r="G399" s="48">
        <f t="shared" si="199"/>
        <v>14.9</v>
      </c>
      <c r="H399" s="48">
        <f t="shared" si="200"/>
        <v>1449.62</v>
      </c>
    </row>
    <row r="400" spans="1:8" s="57" customFormat="1" ht="78.75" outlineLevel="2" x14ac:dyDescent="0.25">
      <c r="A400" s="135" t="s">
        <v>3115</v>
      </c>
      <c r="B400" s="234" t="s">
        <v>3018</v>
      </c>
      <c r="C400" s="143" t="s">
        <v>2147</v>
      </c>
      <c r="D400" s="116" t="s">
        <v>71</v>
      </c>
      <c r="E400" s="116">
        <v>218</v>
      </c>
      <c r="F400" s="145">
        <v>10.38</v>
      </c>
      <c r="G400" s="48">
        <f t="shared" si="199"/>
        <v>13.15</v>
      </c>
      <c r="H400" s="48">
        <f t="shared" si="200"/>
        <v>2866.7</v>
      </c>
    </row>
    <row r="401" spans="1:8" s="57" customFormat="1" ht="78.75" outlineLevel="2" x14ac:dyDescent="0.25">
      <c r="A401" s="135" t="s">
        <v>3116</v>
      </c>
      <c r="B401" s="234" t="s">
        <v>3050</v>
      </c>
      <c r="C401" s="143" t="s">
        <v>2150</v>
      </c>
      <c r="D401" s="116" t="s">
        <v>71</v>
      </c>
      <c r="E401" s="116">
        <v>161.15</v>
      </c>
      <c r="F401" s="145">
        <v>8.3800000000000008</v>
      </c>
      <c r="G401" s="48">
        <f t="shared" ref="G401:G402" si="201">TRUNC(F401*(1+$E$3),2)</f>
        <v>10.61</v>
      </c>
      <c r="H401" s="48">
        <f t="shared" ref="H401:H402" si="202">TRUNC((G401*E401),2)</f>
        <v>1709.8</v>
      </c>
    </row>
    <row r="402" spans="1:8" s="57" customFormat="1" ht="63" outlineLevel="2" x14ac:dyDescent="0.25">
      <c r="A402" s="135" t="s">
        <v>3117</v>
      </c>
      <c r="B402" s="234">
        <v>90808</v>
      </c>
      <c r="C402" s="143" t="s">
        <v>2162</v>
      </c>
      <c r="D402" s="116" t="s">
        <v>75</v>
      </c>
      <c r="E402" s="116">
        <v>132</v>
      </c>
      <c r="F402" s="145">
        <v>66.95</v>
      </c>
      <c r="G402" s="48">
        <f t="shared" si="201"/>
        <v>84.84</v>
      </c>
      <c r="H402" s="48">
        <f t="shared" si="202"/>
        <v>11198.88</v>
      </c>
    </row>
    <row r="403" spans="1:8" s="57" customFormat="1" outlineLevel="2" x14ac:dyDescent="0.25">
      <c r="A403" s="62"/>
      <c r="B403" s="62"/>
      <c r="C403" s="90" t="s">
        <v>13</v>
      </c>
      <c r="D403" s="62"/>
      <c r="E403" s="64"/>
      <c r="F403" s="64"/>
      <c r="G403" s="65"/>
      <c r="H403" s="65">
        <f>SUM(H397:H402)</f>
        <v>19853.849999999999</v>
      </c>
    </row>
    <row r="404" spans="1:8" s="57" customFormat="1" outlineLevel="2" x14ac:dyDescent="0.25">
      <c r="A404" s="123" t="s">
        <v>3118</v>
      </c>
      <c r="B404" s="123"/>
      <c r="C404" s="131" t="s">
        <v>3123</v>
      </c>
      <c r="D404" s="149"/>
      <c r="E404" s="149"/>
      <c r="F404" s="149"/>
      <c r="G404" s="149"/>
      <c r="H404" s="149"/>
    </row>
    <row r="405" spans="1:8" s="57" customFormat="1" ht="47.25" outlineLevel="2" x14ac:dyDescent="0.25">
      <c r="A405" s="150" t="s">
        <v>3119</v>
      </c>
      <c r="B405" s="234">
        <v>96533</v>
      </c>
      <c r="C405" s="143" t="s">
        <v>581</v>
      </c>
      <c r="D405" s="135" t="s">
        <v>77</v>
      </c>
      <c r="E405" s="144">
        <v>31.49</v>
      </c>
      <c r="F405" s="160">
        <v>48.4</v>
      </c>
      <c r="G405" s="48">
        <f t="shared" ref="G405" si="203">TRUNC(F405*(1+$E$3),2)</f>
        <v>61.33</v>
      </c>
      <c r="H405" s="48">
        <f t="shared" ref="H405" si="204">TRUNC((G405*E405),2)</f>
        <v>1931.28</v>
      </c>
    </row>
    <row r="406" spans="1:8" s="57" customFormat="1" ht="47.25" outlineLevel="2" x14ac:dyDescent="0.25">
      <c r="A406" s="150" t="s">
        <v>3120</v>
      </c>
      <c r="B406" s="234" t="s">
        <v>577</v>
      </c>
      <c r="C406" s="143" t="s">
        <v>578</v>
      </c>
      <c r="D406" s="135" t="s">
        <v>153</v>
      </c>
      <c r="E406" s="144">
        <v>6.3</v>
      </c>
      <c r="F406" s="160">
        <v>388.18</v>
      </c>
      <c r="G406" s="48">
        <f t="shared" ref="G406:G509" si="205">TRUNC(F406*(1+$E$3),2)</f>
        <v>491.94</v>
      </c>
      <c r="H406" s="48">
        <f t="shared" ref="H406:H509" si="206">TRUNC((G406*E406),2)</f>
        <v>3099.22</v>
      </c>
    </row>
    <row r="407" spans="1:8" s="57" customFormat="1" ht="47.25" outlineLevel="2" x14ac:dyDescent="0.25">
      <c r="A407" s="150" t="s">
        <v>3121</v>
      </c>
      <c r="B407" s="234">
        <v>96545</v>
      </c>
      <c r="C407" s="143" t="s">
        <v>3031</v>
      </c>
      <c r="D407" s="135" t="s">
        <v>71</v>
      </c>
      <c r="E407" s="144">
        <v>115.16</v>
      </c>
      <c r="F407" s="160">
        <v>11</v>
      </c>
      <c r="G407" s="48">
        <f t="shared" si="205"/>
        <v>13.94</v>
      </c>
      <c r="H407" s="48">
        <f t="shared" si="206"/>
        <v>1605.33</v>
      </c>
    </row>
    <row r="408" spans="1:8" s="57" customFormat="1" ht="47.25" outlineLevel="1" x14ac:dyDescent="0.25">
      <c r="A408" s="150" t="s">
        <v>3122</v>
      </c>
      <c r="B408" s="234">
        <v>96547</v>
      </c>
      <c r="C408" s="143" t="s">
        <v>3033</v>
      </c>
      <c r="D408" s="135" t="s">
        <v>71</v>
      </c>
      <c r="E408" s="144">
        <v>255.23</v>
      </c>
      <c r="F408" s="160">
        <v>7.47</v>
      </c>
      <c r="G408" s="48">
        <f t="shared" si="205"/>
        <v>9.4600000000000009</v>
      </c>
      <c r="H408" s="48">
        <f t="shared" si="206"/>
        <v>2414.4699999999998</v>
      </c>
    </row>
    <row r="409" spans="1:8" s="57" customFormat="1" outlineLevel="1" x14ac:dyDescent="0.25">
      <c r="A409" s="62"/>
      <c r="B409" s="62"/>
      <c r="C409" s="90" t="s">
        <v>13</v>
      </c>
      <c r="D409" s="62"/>
      <c r="E409" s="64"/>
      <c r="F409" s="64"/>
      <c r="G409" s="65"/>
      <c r="H409" s="65">
        <f>SUM(H405:H408)</f>
        <v>9050.2999999999993</v>
      </c>
    </row>
    <row r="410" spans="1:8" s="57" customFormat="1" outlineLevel="1" x14ac:dyDescent="0.25">
      <c r="A410" s="123" t="s">
        <v>3124</v>
      </c>
      <c r="B410" s="123"/>
      <c r="C410" s="131" t="s">
        <v>3129</v>
      </c>
      <c r="D410" s="149"/>
      <c r="E410" s="149"/>
      <c r="F410" s="149"/>
      <c r="G410" s="149"/>
      <c r="H410" s="149"/>
    </row>
    <row r="411" spans="1:8" s="57" customFormat="1" ht="78.75" outlineLevel="1" x14ac:dyDescent="0.25">
      <c r="A411" s="150" t="s">
        <v>3125</v>
      </c>
      <c r="B411" s="234">
        <v>92430</v>
      </c>
      <c r="C411" s="143" t="s">
        <v>584</v>
      </c>
      <c r="D411" s="135" t="s">
        <v>77</v>
      </c>
      <c r="E411" s="144">
        <v>4.62</v>
      </c>
      <c r="F411" s="160">
        <v>38.49</v>
      </c>
      <c r="G411" s="48">
        <f t="shared" si="205"/>
        <v>48.77</v>
      </c>
      <c r="H411" s="48">
        <f t="shared" si="206"/>
        <v>225.31</v>
      </c>
    </row>
    <row r="412" spans="1:8" s="57" customFormat="1" ht="47.25" outlineLevel="2" x14ac:dyDescent="0.25">
      <c r="A412" s="150" t="s">
        <v>3126</v>
      </c>
      <c r="B412" s="135" t="s">
        <v>577</v>
      </c>
      <c r="C412" s="143" t="s">
        <v>578</v>
      </c>
      <c r="D412" s="135" t="s">
        <v>153</v>
      </c>
      <c r="E412" s="144">
        <v>0.33</v>
      </c>
      <c r="F412" s="160">
        <v>388.18</v>
      </c>
      <c r="G412" s="48">
        <f t="shared" si="205"/>
        <v>491.94</v>
      </c>
      <c r="H412" s="48">
        <f t="shared" si="206"/>
        <v>162.34</v>
      </c>
    </row>
    <row r="413" spans="1:8" s="57" customFormat="1" ht="63" outlineLevel="2" x14ac:dyDescent="0.25">
      <c r="A413" s="150" t="s">
        <v>3127</v>
      </c>
      <c r="B413" s="234">
        <v>92775</v>
      </c>
      <c r="C413" s="143" t="s">
        <v>1820</v>
      </c>
      <c r="D413" s="135" t="s">
        <v>71</v>
      </c>
      <c r="E413" s="144">
        <v>12.1</v>
      </c>
      <c r="F413" s="160">
        <v>12.73</v>
      </c>
      <c r="G413" s="48">
        <f t="shared" si="205"/>
        <v>16.13</v>
      </c>
      <c r="H413" s="48">
        <f t="shared" si="206"/>
        <v>195.17</v>
      </c>
    </row>
    <row r="414" spans="1:8" s="57" customFormat="1" ht="63" outlineLevel="2" x14ac:dyDescent="0.25">
      <c r="A414" s="150" t="s">
        <v>3128</v>
      </c>
      <c r="B414" s="234">
        <v>92778</v>
      </c>
      <c r="C414" s="143" t="s">
        <v>2174</v>
      </c>
      <c r="D414" s="135" t="s">
        <v>71</v>
      </c>
      <c r="E414" s="144">
        <v>84.7</v>
      </c>
      <c r="F414" s="160">
        <v>8.86</v>
      </c>
      <c r="G414" s="48">
        <f t="shared" si="205"/>
        <v>11.22</v>
      </c>
      <c r="H414" s="48">
        <f t="shared" si="206"/>
        <v>950.33</v>
      </c>
    </row>
    <row r="415" spans="1:8" s="57" customFormat="1" outlineLevel="2" x14ac:dyDescent="0.25">
      <c r="A415" s="62"/>
      <c r="B415" s="62"/>
      <c r="C415" s="90" t="s">
        <v>13</v>
      </c>
      <c r="D415" s="62"/>
      <c r="E415" s="64"/>
      <c r="F415" s="64"/>
      <c r="G415" s="65"/>
      <c r="H415" s="65">
        <f>SUM(H411:H414)</f>
        <v>1533.15</v>
      </c>
    </row>
    <row r="416" spans="1:8" s="57" customFormat="1" outlineLevel="2" x14ac:dyDescent="0.25">
      <c r="A416" s="123" t="s">
        <v>3130</v>
      </c>
      <c r="B416" s="123"/>
      <c r="C416" s="131" t="s">
        <v>62</v>
      </c>
      <c r="D416" s="149"/>
      <c r="E416" s="149"/>
      <c r="F416" s="149"/>
      <c r="G416" s="149"/>
      <c r="H416" s="149"/>
    </row>
    <row r="417" spans="1:8" s="57" customFormat="1" ht="47.25" outlineLevel="2" x14ac:dyDescent="0.25">
      <c r="A417" s="150" t="s">
        <v>3131</v>
      </c>
      <c r="B417" s="234" t="s">
        <v>265</v>
      </c>
      <c r="C417" s="143" t="s">
        <v>264</v>
      </c>
      <c r="D417" s="135" t="s">
        <v>71</v>
      </c>
      <c r="E417" s="144">
        <v>1273.76</v>
      </c>
      <c r="F417" s="160">
        <v>7.39</v>
      </c>
      <c r="G417" s="48">
        <f t="shared" si="205"/>
        <v>9.36</v>
      </c>
      <c r="H417" s="48">
        <f t="shared" si="206"/>
        <v>11922.39</v>
      </c>
    </row>
    <row r="418" spans="1:8" s="57" customFormat="1" outlineLevel="2" x14ac:dyDescent="0.25">
      <c r="A418" s="150" t="s">
        <v>3132</v>
      </c>
      <c r="B418" s="135" t="s">
        <v>267</v>
      </c>
      <c r="C418" s="143" t="s">
        <v>266</v>
      </c>
      <c r="D418" s="150" t="s">
        <v>71</v>
      </c>
      <c r="E418" s="144">
        <v>1273.76</v>
      </c>
      <c r="F418" s="160">
        <v>2.12</v>
      </c>
      <c r="G418" s="48">
        <f t="shared" si="205"/>
        <v>2.68</v>
      </c>
      <c r="H418" s="48">
        <f t="shared" si="206"/>
        <v>3413.67</v>
      </c>
    </row>
    <row r="419" spans="1:8" s="57" customFormat="1" ht="31.5" outlineLevel="2" x14ac:dyDescent="0.25">
      <c r="A419" s="150" t="s">
        <v>3133</v>
      </c>
      <c r="B419" s="234" t="s">
        <v>502</v>
      </c>
      <c r="C419" s="143" t="s">
        <v>503</v>
      </c>
      <c r="D419" s="150" t="s">
        <v>77</v>
      </c>
      <c r="E419" s="144">
        <v>68.14</v>
      </c>
      <c r="F419" s="160">
        <v>21.2</v>
      </c>
      <c r="G419" s="48">
        <f t="shared" si="205"/>
        <v>26.86</v>
      </c>
      <c r="H419" s="48">
        <f t="shared" si="206"/>
        <v>1830.24</v>
      </c>
    </row>
    <row r="420" spans="1:8" s="57" customFormat="1" ht="78.75" outlineLevel="2" x14ac:dyDescent="0.25">
      <c r="A420" s="150" t="s">
        <v>3134</v>
      </c>
      <c r="B420" s="234">
        <v>92922</v>
      </c>
      <c r="C420" s="143" t="s">
        <v>504</v>
      </c>
      <c r="D420" s="150" t="s">
        <v>71</v>
      </c>
      <c r="E420" s="144">
        <v>24.72</v>
      </c>
      <c r="F420" s="145">
        <v>5.63</v>
      </c>
      <c r="G420" s="48">
        <f t="shared" si="205"/>
        <v>7.13</v>
      </c>
      <c r="H420" s="48">
        <f t="shared" si="206"/>
        <v>176.25</v>
      </c>
    </row>
    <row r="421" spans="1:8" s="57" customFormat="1" outlineLevel="2" x14ac:dyDescent="0.25">
      <c r="A421" s="62"/>
      <c r="B421" s="62"/>
      <c r="C421" s="90" t="s">
        <v>13</v>
      </c>
      <c r="D421" s="62"/>
      <c r="E421" s="64"/>
      <c r="F421" s="64"/>
      <c r="G421" s="65"/>
      <c r="H421" s="65">
        <f>SUM(H417:H420)</f>
        <v>17342.55</v>
      </c>
    </row>
    <row r="422" spans="1:8" s="57" customFormat="1" outlineLevel="2" x14ac:dyDescent="0.25">
      <c r="A422" s="62"/>
      <c r="B422" s="62"/>
      <c r="C422" s="90" t="s">
        <v>3365</v>
      </c>
      <c r="D422" s="62"/>
      <c r="E422" s="64"/>
      <c r="F422" s="64"/>
      <c r="G422" s="65"/>
      <c r="H422" s="65">
        <f>SUM(H421,H415,H409,H403,H395)</f>
        <v>51325.38</v>
      </c>
    </row>
    <row r="423" spans="1:8" s="57" customFormat="1" outlineLevel="2" x14ac:dyDescent="0.25">
      <c r="A423" s="119" t="s">
        <v>3135</v>
      </c>
      <c r="B423" s="61"/>
      <c r="C423" s="129" t="s">
        <v>571</v>
      </c>
      <c r="D423" s="119"/>
      <c r="E423" s="128"/>
      <c r="F423" s="128"/>
      <c r="G423" s="236"/>
      <c r="H423" s="236"/>
    </row>
    <row r="424" spans="1:8" s="57" customFormat="1" ht="31.5" outlineLevel="2" x14ac:dyDescent="0.25">
      <c r="A424" s="119" t="s">
        <v>3136</v>
      </c>
      <c r="B424" s="61"/>
      <c r="C424" s="129" t="s">
        <v>253</v>
      </c>
      <c r="D424" s="119"/>
      <c r="E424" s="128"/>
      <c r="F424" s="128"/>
      <c r="G424" s="236"/>
      <c r="H424" s="236"/>
    </row>
    <row r="425" spans="1:8" s="57" customFormat="1" outlineLevel="2" x14ac:dyDescent="0.25">
      <c r="A425" s="150" t="s">
        <v>3138</v>
      </c>
      <c r="B425" s="234" t="s">
        <v>299</v>
      </c>
      <c r="C425" s="143" t="s">
        <v>298</v>
      </c>
      <c r="D425" s="150" t="s">
        <v>153</v>
      </c>
      <c r="E425" s="144">
        <v>211.22</v>
      </c>
      <c r="F425" s="145">
        <v>27.91</v>
      </c>
      <c r="G425" s="48">
        <f t="shared" si="205"/>
        <v>35.369999999999997</v>
      </c>
      <c r="H425" s="48">
        <f t="shared" si="206"/>
        <v>7470.85</v>
      </c>
    </row>
    <row r="426" spans="1:8" s="57" customFormat="1" ht="47.25" outlineLevel="2" x14ac:dyDescent="0.25">
      <c r="A426" s="150" t="s">
        <v>3139</v>
      </c>
      <c r="B426" s="234" t="s">
        <v>101</v>
      </c>
      <c r="C426" s="143" t="s">
        <v>572</v>
      </c>
      <c r="D426" s="150" t="s">
        <v>153</v>
      </c>
      <c r="E426" s="144">
        <v>211.22</v>
      </c>
      <c r="F426" s="145">
        <v>4.55</v>
      </c>
      <c r="G426" s="48">
        <f t="shared" si="205"/>
        <v>5.76</v>
      </c>
      <c r="H426" s="48">
        <f t="shared" si="206"/>
        <v>1216.6199999999999</v>
      </c>
    </row>
    <row r="427" spans="1:8" s="57" customFormat="1" outlineLevel="2" x14ac:dyDescent="0.25">
      <c r="A427" s="62"/>
      <c r="B427" s="62"/>
      <c r="C427" s="90" t="s">
        <v>13</v>
      </c>
      <c r="D427" s="62"/>
      <c r="E427" s="64"/>
      <c r="F427" s="64"/>
      <c r="G427" s="65"/>
      <c r="H427" s="65">
        <f>SUM(H425:H426)</f>
        <v>8687.4700000000012</v>
      </c>
    </row>
    <row r="428" spans="1:8" s="57" customFormat="1" outlineLevel="2" x14ac:dyDescent="0.25">
      <c r="A428" s="119" t="s">
        <v>3137</v>
      </c>
      <c r="B428" s="61"/>
      <c r="C428" s="129" t="s">
        <v>254</v>
      </c>
      <c r="D428" s="119"/>
      <c r="E428" s="128"/>
      <c r="F428" s="128"/>
      <c r="G428" s="236"/>
      <c r="H428" s="236"/>
    </row>
    <row r="429" spans="1:8" s="57" customFormat="1" ht="47.25" outlineLevel="2" x14ac:dyDescent="0.25">
      <c r="A429" s="150" t="s">
        <v>3140</v>
      </c>
      <c r="B429" s="234">
        <v>96521</v>
      </c>
      <c r="C429" s="143" t="s">
        <v>573</v>
      </c>
      <c r="D429" s="150" t="s">
        <v>153</v>
      </c>
      <c r="E429" s="144">
        <v>79.61</v>
      </c>
      <c r="F429" s="145">
        <v>26.98</v>
      </c>
      <c r="G429" s="48">
        <f t="shared" si="205"/>
        <v>34.19</v>
      </c>
      <c r="H429" s="48">
        <f t="shared" si="206"/>
        <v>2721.86</v>
      </c>
    </row>
    <row r="430" spans="1:8" s="57" customFormat="1" ht="47.25" outlineLevel="2" x14ac:dyDescent="0.25">
      <c r="A430" s="150" t="s">
        <v>3141</v>
      </c>
      <c r="B430" s="234">
        <v>96525</v>
      </c>
      <c r="C430" s="143" t="s">
        <v>574</v>
      </c>
      <c r="D430" s="150" t="s">
        <v>153</v>
      </c>
      <c r="E430" s="144">
        <v>31.57</v>
      </c>
      <c r="F430" s="145">
        <v>24.44</v>
      </c>
      <c r="G430" s="48">
        <f t="shared" si="205"/>
        <v>30.97</v>
      </c>
      <c r="H430" s="48">
        <f t="shared" si="206"/>
        <v>977.72</v>
      </c>
    </row>
    <row r="431" spans="1:8" s="57" customFormat="1" ht="94.5" outlineLevel="2" x14ac:dyDescent="0.25">
      <c r="A431" s="150" t="s">
        <v>3142</v>
      </c>
      <c r="B431" s="234">
        <v>93368</v>
      </c>
      <c r="C431" s="143" t="s">
        <v>575</v>
      </c>
      <c r="D431" s="150" t="s">
        <v>153</v>
      </c>
      <c r="E431" s="144">
        <v>55.09</v>
      </c>
      <c r="F431" s="145">
        <v>9.5299999999999994</v>
      </c>
      <c r="G431" s="48">
        <f t="shared" si="205"/>
        <v>12.07</v>
      </c>
      <c r="H431" s="48">
        <f t="shared" si="206"/>
        <v>664.93</v>
      </c>
    </row>
    <row r="432" spans="1:8" s="57" customFormat="1" ht="31.5" outlineLevel="2" x14ac:dyDescent="0.25">
      <c r="A432" s="150" t="s">
        <v>3143</v>
      </c>
      <c r="B432" s="234">
        <v>72898</v>
      </c>
      <c r="C432" s="143" t="s">
        <v>483</v>
      </c>
      <c r="D432" s="150" t="s">
        <v>153</v>
      </c>
      <c r="E432" s="144">
        <v>34.33</v>
      </c>
      <c r="F432" s="145">
        <v>3.15</v>
      </c>
      <c r="G432" s="48">
        <f t="shared" si="205"/>
        <v>3.99</v>
      </c>
      <c r="H432" s="48">
        <f t="shared" si="206"/>
        <v>136.97</v>
      </c>
    </row>
    <row r="433" spans="1:8" s="57" customFormat="1" ht="47.25" outlineLevel="2" x14ac:dyDescent="0.25">
      <c r="A433" s="150" t="s">
        <v>3144</v>
      </c>
      <c r="B433" s="234">
        <v>95302</v>
      </c>
      <c r="C433" s="143" t="s">
        <v>247</v>
      </c>
      <c r="D433" s="150" t="s">
        <v>484</v>
      </c>
      <c r="E433" s="144">
        <v>343.3</v>
      </c>
      <c r="F433" s="145">
        <v>1.28</v>
      </c>
      <c r="G433" s="48">
        <f t="shared" si="205"/>
        <v>1.62</v>
      </c>
      <c r="H433" s="48">
        <f t="shared" si="206"/>
        <v>556.14</v>
      </c>
    </row>
    <row r="434" spans="1:8" s="57" customFormat="1" ht="47.25" outlineLevel="2" x14ac:dyDescent="0.25">
      <c r="A434" s="150" t="s">
        <v>3145</v>
      </c>
      <c r="B434" s="234">
        <v>94099</v>
      </c>
      <c r="C434" s="143" t="s">
        <v>576</v>
      </c>
      <c r="D434" s="135" t="s">
        <v>77</v>
      </c>
      <c r="E434" s="144">
        <v>72.37</v>
      </c>
      <c r="F434" s="145">
        <v>2.0499999999999998</v>
      </c>
      <c r="G434" s="48">
        <f t="shared" si="205"/>
        <v>2.59</v>
      </c>
      <c r="H434" s="48">
        <f t="shared" si="206"/>
        <v>187.43</v>
      </c>
    </row>
    <row r="435" spans="1:8" s="57" customFormat="1" ht="47.25" outlineLevel="2" x14ac:dyDescent="0.25">
      <c r="A435" s="150" t="s">
        <v>3146</v>
      </c>
      <c r="B435" s="234">
        <v>94097</v>
      </c>
      <c r="C435" s="143" t="s">
        <v>244</v>
      </c>
      <c r="D435" s="150" t="s">
        <v>77</v>
      </c>
      <c r="E435" s="144">
        <v>78.930000000000007</v>
      </c>
      <c r="F435" s="160">
        <v>4.16</v>
      </c>
      <c r="G435" s="48">
        <f t="shared" si="205"/>
        <v>5.27</v>
      </c>
      <c r="H435" s="48">
        <f t="shared" si="206"/>
        <v>415.96</v>
      </c>
    </row>
    <row r="436" spans="1:8" s="57" customFormat="1" ht="31.5" outlineLevel="2" x14ac:dyDescent="0.25">
      <c r="A436" s="150" t="s">
        <v>3147</v>
      </c>
      <c r="B436" s="234">
        <v>95241</v>
      </c>
      <c r="C436" s="143" t="s">
        <v>245</v>
      </c>
      <c r="D436" s="150" t="s">
        <v>77</v>
      </c>
      <c r="E436" s="144">
        <v>151.30000000000001</v>
      </c>
      <c r="F436" s="160">
        <v>18.96</v>
      </c>
      <c r="G436" s="48">
        <f t="shared" si="205"/>
        <v>24.02</v>
      </c>
      <c r="H436" s="48">
        <f t="shared" si="206"/>
        <v>3634.22</v>
      </c>
    </row>
    <row r="437" spans="1:8" s="57" customFormat="1" outlineLevel="2" x14ac:dyDescent="0.25">
      <c r="A437" s="150" t="s">
        <v>3148</v>
      </c>
      <c r="B437" s="234" t="s">
        <v>420</v>
      </c>
      <c r="C437" s="143" t="s">
        <v>421</v>
      </c>
      <c r="D437" s="150" t="s">
        <v>153</v>
      </c>
      <c r="E437" s="144">
        <v>18.920000000000002</v>
      </c>
      <c r="F437" s="160">
        <v>85.71</v>
      </c>
      <c r="G437" s="48">
        <f t="shared" si="205"/>
        <v>108.62</v>
      </c>
      <c r="H437" s="48">
        <f t="shared" si="206"/>
        <v>2055.09</v>
      </c>
    </row>
    <row r="438" spans="1:8" s="57" customFormat="1" ht="31.5" outlineLevel="2" x14ac:dyDescent="0.25">
      <c r="A438" s="150" t="s">
        <v>3149</v>
      </c>
      <c r="B438" s="234">
        <v>68053</v>
      </c>
      <c r="C438" s="143" t="s">
        <v>249</v>
      </c>
      <c r="D438" s="150" t="s">
        <v>77</v>
      </c>
      <c r="E438" s="144">
        <v>378.45</v>
      </c>
      <c r="F438" s="160">
        <v>4.54</v>
      </c>
      <c r="G438" s="48">
        <f t="shared" si="205"/>
        <v>5.75</v>
      </c>
      <c r="H438" s="48">
        <f t="shared" si="206"/>
        <v>2176.08</v>
      </c>
    </row>
    <row r="439" spans="1:8" s="57" customFormat="1" outlineLevel="2" x14ac:dyDescent="0.25">
      <c r="A439" s="62"/>
      <c r="B439" s="62"/>
      <c r="C439" s="90" t="s">
        <v>13</v>
      </c>
      <c r="D439" s="62"/>
      <c r="E439" s="64"/>
      <c r="F439" s="64"/>
      <c r="G439" s="65"/>
      <c r="H439" s="65">
        <f>SUM(H429:H438)</f>
        <v>13526.400000000001</v>
      </c>
    </row>
    <row r="440" spans="1:8" s="57" customFormat="1" outlineLevel="2" x14ac:dyDescent="0.25">
      <c r="A440" s="119" t="s">
        <v>3150</v>
      </c>
      <c r="B440" s="61"/>
      <c r="C440" s="129" t="s">
        <v>100</v>
      </c>
      <c r="D440" s="119"/>
      <c r="E440" s="128"/>
      <c r="F440" s="128"/>
      <c r="G440" s="236"/>
      <c r="H440" s="236"/>
    </row>
    <row r="441" spans="1:8" s="57" customFormat="1" ht="47.25" outlineLevel="2" x14ac:dyDescent="0.25">
      <c r="A441" s="150" t="s">
        <v>3151</v>
      </c>
      <c r="B441" s="234" t="s">
        <v>577</v>
      </c>
      <c r="C441" s="143" t="s">
        <v>578</v>
      </c>
      <c r="D441" s="150" t="s">
        <v>153</v>
      </c>
      <c r="E441" s="144">
        <v>26.49</v>
      </c>
      <c r="F441" s="160">
        <v>388.18</v>
      </c>
      <c r="G441" s="48">
        <f t="shared" si="205"/>
        <v>491.94</v>
      </c>
      <c r="H441" s="48">
        <f t="shared" si="206"/>
        <v>13031.49</v>
      </c>
    </row>
    <row r="442" spans="1:8" s="57" customFormat="1" ht="31.5" outlineLevel="2" x14ac:dyDescent="0.25">
      <c r="A442" s="150" t="s">
        <v>3152</v>
      </c>
      <c r="B442" s="234">
        <v>85662</v>
      </c>
      <c r="C442" s="143" t="s">
        <v>579</v>
      </c>
      <c r="D442" s="150" t="s">
        <v>77</v>
      </c>
      <c r="E442" s="144">
        <v>378.45</v>
      </c>
      <c r="F442" s="145">
        <v>11.6</v>
      </c>
      <c r="G442" s="48">
        <f t="shared" si="205"/>
        <v>14.7</v>
      </c>
      <c r="H442" s="48">
        <f t="shared" si="206"/>
        <v>5563.21</v>
      </c>
    </row>
    <row r="443" spans="1:8" s="57" customFormat="1" outlineLevel="2" x14ac:dyDescent="0.25">
      <c r="A443" s="62"/>
      <c r="B443" s="62"/>
      <c r="C443" s="90" t="s">
        <v>13</v>
      </c>
      <c r="D443" s="62"/>
      <c r="E443" s="64"/>
      <c r="F443" s="64"/>
      <c r="G443" s="65"/>
      <c r="H443" s="65">
        <f>SUM(H441:H442)</f>
        <v>18594.7</v>
      </c>
    </row>
    <row r="444" spans="1:8" s="57" customFormat="1" outlineLevel="2" x14ac:dyDescent="0.25">
      <c r="A444" s="119" t="s">
        <v>3153</v>
      </c>
      <c r="B444" s="61"/>
      <c r="C444" s="129" t="s">
        <v>1129</v>
      </c>
      <c r="D444" s="119"/>
      <c r="E444" s="128"/>
      <c r="F444" s="128"/>
      <c r="G444" s="236"/>
      <c r="H444" s="236"/>
    </row>
    <row r="445" spans="1:8" s="57" customFormat="1" ht="47.25" outlineLevel="2" x14ac:dyDescent="0.25">
      <c r="A445" s="150" t="s">
        <v>3155</v>
      </c>
      <c r="B445" s="234">
        <v>96531</v>
      </c>
      <c r="C445" s="143" t="s">
        <v>3029</v>
      </c>
      <c r="D445" s="150" t="s">
        <v>77</v>
      </c>
      <c r="E445" s="144">
        <v>95.42</v>
      </c>
      <c r="F445" s="160">
        <v>56.21</v>
      </c>
      <c r="G445" s="48">
        <f t="shared" si="205"/>
        <v>71.23</v>
      </c>
      <c r="H445" s="48">
        <f t="shared" si="206"/>
        <v>6796.76</v>
      </c>
    </row>
    <row r="446" spans="1:8" s="57" customFormat="1" ht="47.25" outlineLevel="2" x14ac:dyDescent="0.25">
      <c r="A446" s="150" t="s">
        <v>3156</v>
      </c>
      <c r="B446" s="234" t="s">
        <v>577</v>
      </c>
      <c r="C446" s="143" t="s">
        <v>578</v>
      </c>
      <c r="D446" s="150" t="s">
        <v>153</v>
      </c>
      <c r="E446" s="144">
        <v>24.52</v>
      </c>
      <c r="F446" s="160">
        <v>388.18</v>
      </c>
      <c r="G446" s="48">
        <f t="shared" si="205"/>
        <v>491.94</v>
      </c>
      <c r="H446" s="48">
        <f t="shared" si="206"/>
        <v>12062.36</v>
      </c>
    </row>
    <row r="447" spans="1:8" s="57" customFormat="1" ht="78.75" outlineLevel="2" x14ac:dyDescent="0.25">
      <c r="A447" s="150" t="s">
        <v>3157</v>
      </c>
      <c r="B447" s="135" t="s">
        <v>3017</v>
      </c>
      <c r="C447" s="143" t="s">
        <v>2139</v>
      </c>
      <c r="D447" s="150" t="s">
        <v>71</v>
      </c>
      <c r="E447" s="144">
        <v>427.61</v>
      </c>
      <c r="F447" s="160">
        <v>11.76</v>
      </c>
      <c r="G447" s="48">
        <f t="shared" si="205"/>
        <v>14.9</v>
      </c>
      <c r="H447" s="48">
        <f t="shared" si="206"/>
        <v>6371.38</v>
      </c>
    </row>
    <row r="448" spans="1:8" s="57" customFormat="1" ht="78.75" outlineLevel="2" x14ac:dyDescent="0.25">
      <c r="A448" s="150" t="s">
        <v>3158</v>
      </c>
      <c r="B448" s="234" t="s">
        <v>3018</v>
      </c>
      <c r="C448" s="143" t="s">
        <v>2147</v>
      </c>
      <c r="D448" s="150" t="s">
        <v>71</v>
      </c>
      <c r="E448" s="144">
        <v>1041.6600000000001</v>
      </c>
      <c r="F448" s="145">
        <v>10.38</v>
      </c>
      <c r="G448" s="48">
        <f t="shared" si="205"/>
        <v>13.15</v>
      </c>
      <c r="H448" s="48">
        <f t="shared" si="206"/>
        <v>13697.82</v>
      </c>
    </row>
    <row r="449" spans="1:8" s="57" customFormat="1" ht="78.75" outlineLevel="2" x14ac:dyDescent="0.25">
      <c r="A449" s="150" t="s">
        <v>3159</v>
      </c>
      <c r="B449" s="135" t="s">
        <v>3050</v>
      </c>
      <c r="C449" s="143" t="s">
        <v>2150</v>
      </c>
      <c r="D449" s="150" t="s">
        <v>71</v>
      </c>
      <c r="E449" s="144">
        <v>2037.37</v>
      </c>
      <c r="F449" s="145">
        <v>8.3800000000000008</v>
      </c>
      <c r="G449" s="48">
        <f t="shared" si="205"/>
        <v>10.61</v>
      </c>
      <c r="H449" s="48">
        <f t="shared" si="206"/>
        <v>21616.49</v>
      </c>
    </row>
    <row r="450" spans="1:8" s="57" customFormat="1" ht="78.75" outlineLevel="1" x14ac:dyDescent="0.25">
      <c r="A450" s="150" t="s">
        <v>3160</v>
      </c>
      <c r="B450" s="135" t="s">
        <v>3154</v>
      </c>
      <c r="C450" s="143" t="s">
        <v>2154</v>
      </c>
      <c r="D450" s="150" t="s">
        <v>71</v>
      </c>
      <c r="E450" s="144">
        <v>359.52</v>
      </c>
      <c r="F450" s="145">
        <v>7.05</v>
      </c>
      <c r="G450" s="48">
        <f t="shared" si="205"/>
        <v>8.93</v>
      </c>
      <c r="H450" s="48">
        <f t="shared" si="206"/>
        <v>3210.51</v>
      </c>
    </row>
    <row r="451" spans="1:8" s="57" customFormat="1" ht="63" outlineLevel="1" x14ac:dyDescent="0.25">
      <c r="A451" s="150" t="s">
        <v>3161</v>
      </c>
      <c r="B451" s="234">
        <v>90808</v>
      </c>
      <c r="C451" s="143" t="s">
        <v>2162</v>
      </c>
      <c r="D451" s="150" t="s">
        <v>75</v>
      </c>
      <c r="E451" s="144">
        <v>636</v>
      </c>
      <c r="F451" s="145">
        <v>66.95</v>
      </c>
      <c r="G451" s="48">
        <f t="shared" si="205"/>
        <v>84.84</v>
      </c>
      <c r="H451" s="48">
        <f t="shared" si="206"/>
        <v>53958.239999999998</v>
      </c>
    </row>
    <row r="452" spans="1:8" s="57" customFormat="1" outlineLevel="2" x14ac:dyDescent="0.25">
      <c r="A452" s="62"/>
      <c r="B452" s="62"/>
      <c r="C452" s="90" t="s">
        <v>13</v>
      </c>
      <c r="D452" s="62"/>
      <c r="E452" s="64"/>
      <c r="F452" s="64"/>
      <c r="G452" s="65"/>
      <c r="H452" s="65">
        <f>SUM(H445:H451)</f>
        <v>117713.56000000001</v>
      </c>
    </row>
    <row r="453" spans="1:8" s="57" customFormat="1" outlineLevel="2" x14ac:dyDescent="0.25">
      <c r="A453" s="119" t="s">
        <v>3163</v>
      </c>
      <c r="B453" s="61"/>
      <c r="C453" s="129" t="s">
        <v>3162</v>
      </c>
      <c r="D453" s="119"/>
      <c r="E453" s="128"/>
      <c r="F453" s="128"/>
      <c r="G453" s="236"/>
      <c r="H453" s="236"/>
    </row>
    <row r="454" spans="1:8" s="57" customFormat="1" ht="47.25" outlineLevel="2" x14ac:dyDescent="0.25">
      <c r="A454" s="150" t="s">
        <v>3164</v>
      </c>
      <c r="B454" s="234">
        <v>96533</v>
      </c>
      <c r="C454" s="143" t="s">
        <v>581</v>
      </c>
      <c r="D454" s="150" t="s">
        <v>77</v>
      </c>
      <c r="E454" s="144">
        <v>119.43</v>
      </c>
      <c r="F454" s="145">
        <v>48.4</v>
      </c>
      <c r="G454" s="48">
        <f t="shared" si="205"/>
        <v>61.33</v>
      </c>
      <c r="H454" s="48">
        <f t="shared" si="206"/>
        <v>7324.64</v>
      </c>
    </row>
    <row r="455" spans="1:8" s="57" customFormat="1" ht="47.25" outlineLevel="2" x14ac:dyDescent="0.25">
      <c r="A455" s="150" t="s">
        <v>3165</v>
      </c>
      <c r="B455" s="234" t="s">
        <v>577</v>
      </c>
      <c r="C455" s="143" t="s">
        <v>578</v>
      </c>
      <c r="D455" s="150" t="s">
        <v>153</v>
      </c>
      <c r="E455" s="144">
        <v>8.61</v>
      </c>
      <c r="F455" s="145">
        <v>388.18</v>
      </c>
      <c r="G455" s="48">
        <f t="shared" si="205"/>
        <v>491.94</v>
      </c>
      <c r="H455" s="48">
        <f t="shared" si="206"/>
        <v>4235.6000000000004</v>
      </c>
    </row>
    <row r="456" spans="1:8" s="57" customFormat="1" ht="47.25" outlineLevel="1" x14ac:dyDescent="0.25">
      <c r="A456" s="150" t="s">
        <v>3166</v>
      </c>
      <c r="B456" s="234">
        <v>96543</v>
      </c>
      <c r="C456" s="143" t="s">
        <v>3041</v>
      </c>
      <c r="D456" s="150" t="s">
        <v>71</v>
      </c>
      <c r="E456" s="144">
        <v>121.9</v>
      </c>
      <c r="F456" s="145">
        <v>12.81</v>
      </c>
      <c r="G456" s="48">
        <f t="shared" si="205"/>
        <v>16.23</v>
      </c>
      <c r="H456" s="48">
        <f t="shared" si="206"/>
        <v>1978.43</v>
      </c>
    </row>
    <row r="457" spans="1:8" s="57" customFormat="1" ht="47.25" outlineLevel="1" x14ac:dyDescent="0.25">
      <c r="A457" s="150" t="s">
        <v>3167</v>
      </c>
      <c r="B457" s="234">
        <v>96545</v>
      </c>
      <c r="C457" s="143" t="s">
        <v>3031</v>
      </c>
      <c r="D457" s="150" t="s">
        <v>71</v>
      </c>
      <c r="E457" s="144">
        <v>4.4000000000000004</v>
      </c>
      <c r="F457" s="145">
        <v>11</v>
      </c>
      <c r="G457" s="48">
        <f t="shared" si="205"/>
        <v>13.94</v>
      </c>
      <c r="H457" s="48">
        <f t="shared" si="206"/>
        <v>61.33</v>
      </c>
    </row>
    <row r="458" spans="1:8" s="57" customFormat="1" ht="47.25" outlineLevel="2" x14ac:dyDescent="0.25">
      <c r="A458" s="150" t="s">
        <v>3168</v>
      </c>
      <c r="B458" s="234">
        <v>96546</v>
      </c>
      <c r="C458" s="143" t="s">
        <v>3032</v>
      </c>
      <c r="D458" s="150" t="s">
        <v>71</v>
      </c>
      <c r="E458" s="144">
        <v>340.1</v>
      </c>
      <c r="F458" s="160">
        <v>8.9499999999999993</v>
      </c>
      <c r="G458" s="48">
        <f t="shared" si="205"/>
        <v>11.34</v>
      </c>
      <c r="H458" s="48">
        <f t="shared" si="206"/>
        <v>3856.73</v>
      </c>
    </row>
    <row r="459" spans="1:8" s="57" customFormat="1" ht="47.25" outlineLevel="2" x14ac:dyDescent="0.25">
      <c r="A459" s="150" t="s">
        <v>3169</v>
      </c>
      <c r="B459" s="234">
        <v>96547</v>
      </c>
      <c r="C459" s="143" t="s">
        <v>3033</v>
      </c>
      <c r="D459" s="150" t="s">
        <v>71</v>
      </c>
      <c r="E459" s="144">
        <v>47.3</v>
      </c>
      <c r="F459" s="160">
        <v>7.47</v>
      </c>
      <c r="G459" s="48">
        <f t="shared" si="205"/>
        <v>9.4600000000000009</v>
      </c>
      <c r="H459" s="48">
        <f t="shared" si="206"/>
        <v>447.45</v>
      </c>
    </row>
    <row r="460" spans="1:8" s="57" customFormat="1" outlineLevel="2" x14ac:dyDescent="0.25">
      <c r="A460" s="62"/>
      <c r="B460" s="62"/>
      <c r="C460" s="90" t="s">
        <v>13</v>
      </c>
      <c r="D460" s="62"/>
      <c r="E460" s="64"/>
      <c r="F460" s="64"/>
      <c r="G460" s="65"/>
      <c r="H460" s="65">
        <f>SUM(H454:H459)</f>
        <v>17904.180000000004</v>
      </c>
    </row>
    <row r="461" spans="1:8" s="57" customFormat="1" outlineLevel="2" x14ac:dyDescent="0.25">
      <c r="A461" s="119" t="s">
        <v>3170</v>
      </c>
      <c r="B461" s="61"/>
      <c r="C461" s="129" t="s">
        <v>583</v>
      </c>
      <c r="D461" s="119"/>
      <c r="E461" s="128"/>
      <c r="F461" s="128"/>
      <c r="G461" s="236"/>
      <c r="H461" s="236"/>
    </row>
    <row r="462" spans="1:8" s="57" customFormat="1" ht="78.75" outlineLevel="2" x14ac:dyDescent="0.25">
      <c r="A462" s="150" t="s">
        <v>3171</v>
      </c>
      <c r="B462" s="234">
        <v>92430</v>
      </c>
      <c r="C462" s="143" t="s">
        <v>584</v>
      </c>
      <c r="D462" s="150" t="s">
        <v>77</v>
      </c>
      <c r="E462" s="144">
        <v>131.34</v>
      </c>
      <c r="F462" s="160">
        <v>38.49</v>
      </c>
      <c r="G462" s="48">
        <f t="shared" si="205"/>
        <v>48.77</v>
      </c>
      <c r="H462" s="48">
        <f t="shared" si="206"/>
        <v>6405.45</v>
      </c>
    </row>
    <row r="463" spans="1:8" s="57" customFormat="1" ht="47.25" outlineLevel="2" x14ac:dyDescent="0.25">
      <c r="A463" s="150" t="s">
        <v>3172</v>
      </c>
      <c r="B463" s="135" t="s">
        <v>577</v>
      </c>
      <c r="C463" s="143" t="s">
        <v>578</v>
      </c>
      <c r="D463" s="150" t="s">
        <v>153</v>
      </c>
      <c r="E463" s="144">
        <v>8.8800000000000008</v>
      </c>
      <c r="F463" s="160">
        <v>388.18</v>
      </c>
      <c r="G463" s="48">
        <f t="shared" si="205"/>
        <v>491.94</v>
      </c>
      <c r="H463" s="48">
        <f t="shared" si="206"/>
        <v>4368.42</v>
      </c>
    </row>
    <row r="464" spans="1:8" s="57" customFormat="1" ht="63" outlineLevel="2" x14ac:dyDescent="0.25">
      <c r="A464" s="150" t="s">
        <v>3173</v>
      </c>
      <c r="B464" s="234">
        <v>92775</v>
      </c>
      <c r="C464" s="143" t="s">
        <v>1820</v>
      </c>
      <c r="D464" s="150" t="s">
        <v>71</v>
      </c>
      <c r="E464" s="144">
        <v>453.2</v>
      </c>
      <c r="F464" s="160">
        <v>12.73</v>
      </c>
      <c r="G464" s="48">
        <f t="shared" si="205"/>
        <v>16.13</v>
      </c>
      <c r="H464" s="48">
        <f t="shared" si="206"/>
        <v>7310.11</v>
      </c>
    </row>
    <row r="465" spans="1:8" ht="63" outlineLevel="1" x14ac:dyDescent="0.25">
      <c r="A465" s="150" t="s">
        <v>3174</v>
      </c>
      <c r="B465" s="234">
        <v>92779</v>
      </c>
      <c r="C465" s="143" t="s">
        <v>585</v>
      </c>
      <c r="D465" s="150" t="s">
        <v>71</v>
      </c>
      <c r="E465" s="144">
        <v>1746.3</v>
      </c>
      <c r="F465" s="160">
        <v>7.34</v>
      </c>
      <c r="G465" s="48">
        <f t="shared" si="205"/>
        <v>9.3000000000000007</v>
      </c>
      <c r="H465" s="48">
        <f t="shared" si="206"/>
        <v>16240.59</v>
      </c>
    </row>
    <row r="466" spans="1:8" s="57" customFormat="1" outlineLevel="2" x14ac:dyDescent="0.25">
      <c r="A466" s="62"/>
      <c r="B466" s="62"/>
      <c r="C466" s="90" t="s">
        <v>13</v>
      </c>
      <c r="D466" s="62"/>
      <c r="E466" s="64"/>
      <c r="F466" s="64"/>
      <c r="G466" s="65"/>
      <c r="H466" s="65">
        <f>SUM(H462:H465)</f>
        <v>34324.57</v>
      </c>
    </row>
    <row r="467" spans="1:8" s="57" customFormat="1" outlineLevel="2" x14ac:dyDescent="0.25">
      <c r="A467" s="119" t="s">
        <v>3175</v>
      </c>
      <c r="B467" s="61"/>
      <c r="C467" s="129" t="s">
        <v>586</v>
      </c>
      <c r="D467" s="119"/>
      <c r="E467" s="128"/>
      <c r="F467" s="128"/>
      <c r="G467" s="236"/>
      <c r="H467" s="236"/>
    </row>
    <row r="468" spans="1:8" s="57" customFormat="1" ht="63" outlineLevel="1" x14ac:dyDescent="0.25">
      <c r="A468" s="150" t="s">
        <v>3176</v>
      </c>
      <c r="B468" s="234">
        <v>92468</v>
      </c>
      <c r="C468" s="143" t="s">
        <v>587</v>
      </c>
      <c r="D468" s="150" t="s">
        <v>77</v>
      </c>
      <c r="E468" s="144">
        <v>149.53</v>
      </c>
      <c r="F468" s="160">
        <v>59.2</v>
      </c>
      <c r="G468" s="48">
        <f t="shared" si="205"/>
        <v>75.02</v>
      </c>
      <c r="H468" s="48">
        <f t="shared" si="206"/>
        <v>11217.74</v>
      </c>
    </row>
    <row r="469" spans="1:8" s="57" customFormat="1" ht="47.25" outlineLevel="2" x14ac:dyDescent="0.25">
      <c r="A469" s="150" t="s">
        <v>3177</v>
      </c>
      <c r="B469" s="234" t="s">
        <v>577</v>
      </c>
      <c r="C469" s="143" t="s">
        <v>578</v>
      </c>
      <c r="D469" s="150" t="s">
        <v>153</v>
      </c>
      <c r="E469" s="144">
        <v>11.78</v>
      </c>
      <c r="F469" s="160">
        <v>388.18</v>
      </c>
      <c r="G469" s="48">
        <f t="shared" si="205"/>
        <v>491.94</v>
      </c>
      <c r="H469" s="48">
        <f t="shared" si="206"/>
        <v>5795.05</v>
      </c>
    </row>
    <row r="470" spans="1:8" s="57" customFormat="1" ht="63" outlineLevel="2" x14ac:dyDescent="0.25">
      <c r="A470" s="150" t="s">
        <v>3178</v>
      </c>
      <c r="B470" s="234">
        <v>92775</v>
      </c>
      <c r="C470" s="143" t="s">
        <v>1820</v>
      </c>
      <c r="D470" s="150" t="s">
        <v>71</v>
      </c>
      <c r="E470" s="144">
        <v>170.4</v>
      </c>
      <c r="F470" s="145">
        <v>12.73</v>
      </c>
      <c r="G470" s="48">
        <f t="shared" si="205"/>
        <v>16.13</v>
      </c>
      <c r="H470" s="48">
        <f t="shared" si="206"/>
        <v>2748.55</v>
      </c>
    </row>
    <row r="471" spans="1:8" s="57" customFormat="1" ht="63" outlineLevel="2" x14ac:dyDescent="0.25">
      <c r="A471" s="150" t="s">
        <v>3179</v>
      </c>
      <c r="B471" s="234">
        <v>92777</v>
      </c>
      <c r="C471" s="143" t="s">
        <v>2178</v>
      </c>
      <c r="D471" s="150" t="s">
        <v>71</v>
      </c>
      <c r="E471" s="144">
        <v>3.5</v>
      </c>
      <c r="F471" s="160">
        <v>10.94</v>
      </c>
      <c r="G471" s="48">
        <f t="shared" si="205"/>
        <v>13.86</v>
      </c>
      <c r="H471" s="48">
        <f t="shared" si="206"/>
        <v>48.51</v>
      </c>
    </row>
    <row r="472" spans="1:8" s="57" customFormat="1" ht="63" outlineLevel="2" x14ac:dyDescent="0.25">
      <c r="A472" s="150" t="s">
        <v>3180</v>
      </c>
      <c r="B472" s="234">
        <v>92778</v>
      </c>
      <c r="C472" s="143" t="s">
        <v>2174</v>
      </c>
      <c r="D472" s="150" t="s">
        <v>71</v>
      </c>
      <c r="E472" s="144">
        <v>416.6</v>
      </c>
      <c r="F472" s="160">
        <v>8.86</v>
      </c>
      <c r="G472" s="48">
        <f t="shared" si="205"/>
        <v>11.22</v>
      </c>
      <c r="H472" s="48">
        <f t="shared" si="206"/>
        <v>4674.25</v>
      </c>
    </row>
    <row r="473" spans="1:8" s="57" customFormat="1" ht="63" outlineLevel="2" x14ac:dyDescent="0.25">
      <c r="A473" s="150" t="s">
        <v>3181</v>
      </c>
      <c r="B473" s="234">
        <v>92779</v>
      </c>
      <c r="C473" s="143" t="s">
        <v>585</v>
      </c>
      <c r="D473" s="150" t="s">
        <v>71</v>
      </c>
      <c r="E473" s="144">
        <v>96.6</v>
      </c>
      <c r="F473" s="160">
        <v>7.34</v>
      </c>
      <c r="G473" s="48">
        <f t="shared" si="205"/>
        <v>9.3000000000000007</v>
      </c>
      <c r="H473" s="48">
        <f t="shared" si="206"/>
        <v>898.38</v>
      </c>
    </row>
    <row r="474" spans="1:8" s="57" customFormat="1" ht="63" outlineLevel="2" x14ac:dyDescent="0.25">
      <c r="A474" s="150" t="s">
        <v>3182</v>
      </c>
      <c r="B474" s="234">
        <v>92780</v>
      </c>
      <c r="C474" s="143" t="s">
        <v>3064</v>
      </c>
      <c r="D474" s="150" t="s">
        <v>71</v>
      </c>
      <c r="E474" s="144">
        <v>93.9</v>
      </c>
      <c r="F474" s="160">
        <v>5.83</v>
      </c>
      <c r="G474" s="48">
        <f t="shared" si="205"/>
        <v>7.38</v>
      </c>
      <c r="H474" s="48">
        <f t="shared" si="206"/>
        <v>692.98</v>
      </c>
    </row>
    <row r="475" spans="1:8" s="57" customFormat="1" outlineLevel="2" x14ac:dyDescent="0.25">
      <c r="A475" s="62"/>
      <c r="B475" s="62"/>
      <c r="C475" s="90" t="s">
        <v>13</v>
      </c>
      <c r="D475" s="62"/>
      <c r="E475" s="64"/>
      <c r="F475" s="64"/>
      <c r="G475" s="65"/>
      <c r="H475" s="65">
        <f>SUM(H468:H474)</f>
        <v>26075.46</v>
      </c>
    </row>
    <row r="476" spans="1:8" s="57" customFormat="1" outlineLevel="2" x14ac:dyDescent="0.25">
      <c r="A476" s="119" t="s">
        <v>3183</v>
      </c>
      <c r="B476" s="61"/>
      <c r="C476" s="129" t="s">
        <v>263</v>
      </c>
      <c r="D476" s="119"/>
      <c r="E476" s="128"/>
      <c r="F476" s="128"/>
      <c r="G476" s="236"/>
      <c r="H476" s="236"/>
    </row>
    <row r="477" spans="1:8" s="57" customFormat="1" ht="47.25" outlineLevel="2" x14ac:dyDescent="0.25">
      <c r="A477" s="150" t="s">
        <v>3184</v>
      </c>
      <c r="B477" s="234" t="s">
        <v>3074</v>
      </c>
      <c r="C477" s="143" t="s">
        <v>3075</v>
      </c>
      <c r="D477" s="150" t="s">
        <v>77</v>
      </c>
      <c r="E477" s="144">
        <v>118.1</v>
      </c>
      <c r="F477" s="145">
        <v>89.79</v>
      </c>
      <c r="G477" s="48">
        <f t="shared" si="205"/>
        <v>113.79</v>
      </c>
      <c r="H477" s="48">
        <f t="shared" si="206"/>
        <v>13438.59</v>
      </c>
    </row>
    <row r="478" spans="1:8" s="57" customFormat="1" ht="31.5" outlineLevel="2" x14ac:dyDescent="0.25">
      <c r="A478" s="150" t="s">
        <v>3185</v>
      </c>
      <c r="B478" s="234">
        <v>85662</v>
      </c>
      <c r="C478" s="143" t="s">
        <v>579</v>
      </c>
      <c r="D478" s="135" t="s">
        <v>77</v>
      </c>
      <c r="E478" s="144">
        <v>141.72</v>
      </c>
      <c r="F478" s="160">
        <v>11.6</v>
      </c>
      <c r="G478" s="48">
        <f t="shared" si="205"/>
        <v>14.7</v>
      </c>
      <c r="H478" s="48">
        <f t="shared" si="206"/>
        <v>2083.2800000000002</v>
      </c>
    </row>
    <row r="479" spans="1:8" s="57" customFormat="1" outlineLevel="2" x14ac:dyDescent="0.25">
      <c r="A479" s="62"/>
      <c r="B479" s="62"/>
      <c r="C479" s="90" t="s">
        <v>13</v>
      </c>
      <c r="D479" s="62"/>
      <c r="E479" s="64"/>
      <c r="F479" s="64"/>
      <c r="G479" s="65"/>
      <c r="H479" s="65">
        <f>SUM(H477:H478)</f>
        <v>15521.87</v>
      </c>
    </row>
    <row r="480" spans="1:8" s="57" customFormat="1" outlineLevel="2" x14ac:dyDescent="0.25">
      <c r="A480" s="119" t="s">
        <v>3186</v>
      </c>
      <c r="B480" s="61"/>
      <c r="C480" s="129" t="s">
        <v>590</v>
      </c>
      <c r="D480" s="119"/>
      <c r="E480" s="128"/>
      <c r="F480" s="128"/>
      <c r="G480" s="236"/>
      <c r="H480" s="236"/>
    </row>
    <row r="481" spans="1:8" s="57" customFormat="1" ht="47.25" outlineLevel="2" x14ac:dyDescent="0.25">
      <c r="A481" s="150" t="s">
        <v>3187</v>
      </c>
      <c r="B481" s="135" t="s">
        <v>265</v>
      </c>
      <c r="C481" s="143" t="s">
        <v>264</v>
      </c>
      <c r="D481" s="135" t="s">
        <v>71</v>
      </c>
      <c r="E481" s="144">
        <v>5516.99</v>
      </c>
      <c r="F481" s="160">
        <v>7.39</v>
      </c>
      <c r="G481" s="48">
        <f t="shared" si="205"/>
        <v>9.36</v>
      </c>
      <c r="H481" s="48">
        <f t="shared" si="206"/>
        <v>51639.02</v>
      </c>
    </row>
    <row r="482" spans="1:8" s="57" customFormat="1" outlineLevel="2" x14ac:dyDescent="0.25">
      <c r="A482" s="150" t="s">
        <v>3188</v>
      </c>
      <c r="B482" s="234" t="s">
        <v>267</v>
      </c>
      <c r="C482" s="143" t="s">
        <v>266</v>
      </c>
      <c r="D482" s="135" t="s">
        <v>71</v>
      </c>
      <c r="E482" s="144">
        <v>5516.99</v>
      </c>
      <c r="F482" s="160">
        <v>2.12</v>
      </c>
      <c r="G482" s="48">
        <f t="shared" si="205"/>
        <v>2.68</v>
      </c>
      <c r="H482" s="48">
        <f t="shared" si="206"/>
        <v>14785.53</v>
      </c>
    </row>
    <row r="483" spans="1:8" s="57" customFormat="1" ht="31.5" outlineLevel="1" x14ac:dyDescent="0.25">
      <c r="A483" s="150" t="s">
        <v>3189</v>
      </c>
      <c r="B483" s="234" t="s">
        <v>502</v>
      </c>
      <c r="C483" s="143" t="s">
        <v>503</v>
      </c>
      <c r="D483" s="135" t="s">
        <v>77</v>
      </c>
      <c r="E483" s="144">
        <v>307.95</v>
      </c>
      <c r="F483" s="160">
        <v>21.2</v>
      </c>
      <c r="G483" s="48">
        <f t="shared" si="205"/>
        <v>26.86</v>
      </c>
      <c r="H483" s="48">
        <f t="shared" si="206"/>
        <v>8271.5300000000007</v>
      </c>
    </row>
    <row r="484" spans="1:8" s="57" customFormat="1" ht="78.75" outlineLevel="1" x14ac:dyDescent="0.25">
      <c r="A484" s="150" t="s">
        <v>3190</v>
      </c>
      <c r="B484" s="234">
        <v>92922</v>
      </c>
      <c r="C484" s="143" t="s">
        <v>504</v>
      </c>
      <c r="D484" s="135" t="s">
        <v>71</v>
      </c>
      <c r="E484" s="144">
        <v>66.38</v>
      </c>
      <c r="F484" s="160">
        <v>5.63</v>
      </c>
      <c r="G484" s="48">
        <f t="shared" si="205"/>
        <v>7.13</v>
      </c>
      <c r="H484" s="48">
        <f t="shared" si="206"/>
        <v>473.28</v>
      </c>
    </row>
    <row r="485" spans="1:8" s="57" customFormat="1" outlineLevel="2" x14ac:dyDescent="0.25">
      <c r="A485" s="62"/>
      <c r="B485" s="62"/>
      <c r="C485" s="90" t="s">
        <v>13</v>
      </c>
      <c r="D485" s="62"/>
      <c r="E485" s="64"/>
      <c r="F485" s="64"/>
      <c r="G485" s="65"/>
      <c r="H485" s="65">
        <f>SUM(H481:H484)</f>
        <v>75169.36</v>
      </c>
    </row>
    <row r="486" spans="1:8" s="57" customFormat="1" outlineLevel="2" x14ac:dyDescent="0.25">
      <c r="A486" s="62"/>
      <c r="B486" s="62"/>
      <c r="C486" s="90" t="s">
        <v>295</v>
      </c>
      <c r="D486" s="62"/>
      <c r="E486" s="64"/>
      <c r="F486" s="64"/>
      <c r="G486" s="65"/>
      <c r="H486" s="65">
        <f>SUM(H485,H479,H475,H466,H460,H452,H443,H439,H427)</f>
        <v>327517.57000000007</v>
      </c>
    </row>
    <row r="487" spans="1:8" s="57" customFormat="1" outlineLevel="2" x14ac:dyDescent="0.25">
      <c r="A487" s="119" t="s">
        <v>3192</v>
      </c>
      <c r="B487" s="61"/>
      <c r="C487" s="129" t="s">
        <v>3191</v>
      </c>
      <c r="D487" s="119"/>
      <c r="E487" s="128"/>
      <c r="F487" s="128"/>
      <c r="G487" s="236"/>
      <c r="H487" s="236"/>
    </row>
    <row r="488" spans="1:8" s="57" customFormat="1" ht="31.5" outlineLevel="2" x14ac:dyDescent="0.25">
      <c r="A488" s="119" t="s">
        <v>3193</v>
      </c>
      <c r="B488" s="61"/>
      <c r="C488" s="129" t="s">
        <v>253</v>
      </c>
      <c r="D488" s="119"/>
      <c r="E488" s="128"/>
      <c r="F488" s="128"/>
      <c r="G488" s="236"/>
      <c r="H488" s="236"/>
    </row>
    <row r="489" spans="1:8" s="57" customFormat="1" outlineLevel="1" x14ac:dyDescent="0.25">
      <c r="A489" s="150" t="s">
        <v>3194</v>
      </c>
      <c r="B489" s="234" t="s">
        <v>299</v>
      </c>
      <c r="C489" s="143" t="s">
        <v>298</v>
      </c>
      <c r="D489" s="135" t="s">
        <v>153</v>
      </c>
      <c r="E489" s="144">
        <v>626.73</v>
      </c>
      <c r="F489" s="160">
        <v>27.91</v>
      </c>
      <c r="G489" s="48">
        <f t="shared" si="205"/>
        <v>35.369999999999997</v>
      </c>
      <c r="H489" s="48">
        <f t="shared" si="206"/>
        <v>22167.439999999999</v>
      </c>
    </row>
    <row r="490" spans="1:8" s="57" customFormat="1" ht="47.25" outlineLevel="1" x14ac:dyDescent="0.25">
      <c r="A490" s="150" t="s">
        <v>3195</v>
      </c>
      <c r="B490" s="234" t="s">
        <v>101</v>
      </c>
      <c r="C490" s="143" t="s">
        <v>572</v>
      </c>
      <c r="D490" s="135" t="s">
        <v>153</v>
      </c>
      <c r="E490" s="144">
        <v>626.73</v>
      </c>
      <c r="F490" s="160">
        <v>4.55</v>
      </c>
      <c r="G490" s="48">
        <f t="shared" si="205"/>
        <v>5.76</v>
      </c>
      <c r="H490" s="48">
        <f t="shared" si="206"/>
        <v>3609.96</v>
      </c>
    </row>
    <row r="491" spans="1:8" s="57" customFormat="1" outlineLevel="2" x14ac:dyDescent="0.25">
      <c r="A491" s="62"/>
      <c r="B491" s="62"/>
      <c r="C491" s="90" t="s">
        <v>13</v>
      </c>
      <c r="D491" s="62"/>
      <c r="E491" s="64"/>
      <c r="F491" s="64"/>
      <c r="G491" s="65"/>
      <c r="H491" s="65">
        <f>SUM(H489:H490)</f>
        <v>25777.399999999998</v>
      </c>
    </row>
    <row r="492" spans="1:8" s="57" customFormat="1" outlineLevel="1" x14ac:dyDescent="0.25">
      <c r="A492" s="119" t="s">
        <v>3196</v>
      </c>
      <c r="B492" s="61"/>
      <c r="C492" s="129" t="s">
        <v>254</v>
      </c>
      <c r="D492" s="119"/>
      <c r="E492" s="128"/>
      <c r="F492" s="128"/>
      <c r="G492" s="236"/>
      <c r="H492" s="236"/>
    </row>
    <row r="493" spans="1:8" s="57" customFormat="1" ht="63" outlineLevel="1" x14ac:dyDescent="0.25">
      <c r="A493" s="150" t="s">
        <v>3197</v>
      </c>
      <c r="B493" s="234">
        <v>90808</v>
      </c>
      <c r="C493" s="143" t="s">
        <v>2162</v>
      </c>
      <c r="D493" s="135" t="s">
        <v>75</v>
      </c>
      <c r="E493" s="144">
        <v>720</v>
      </c>
      <c r="F493" s="160">
        <v>66.95</v>
      </c>
      <c r="G493" s="48">
        <f t="shared" ref="G493:G502" si="207">TRUNC(F493*(1+$E$3),2)</f>
        <v>84.84</v>
      </c>
      <c r="H493" s="48">
        <f t="shared" ref="H493:H502" si="208">TRUNC((G493*E493),2)</f>
        <v>61084.800000000003</v>
      </c>
    </row>
    <row r="494" spans="1:8" s="57" customFormat="1" ht="78.75" outlineLevel="1" x14ac:dyDescent="0.25">
      <c r="A494" s="150" t="s">
        <v>3198</v>
      </c>
      <c r="B494" s="234" t="s">
        <v>3017</v>
      </c>
      <c r="C494" s="143" t="s">
        <v>2139</v>
      </c>
      <c r="D494" s="135" t="s">
        <v>71</v>
      </c>
      <c r="E494" s="144">
        <v>462</v>
      </c>
      <c r="F494" s="160">
        <v>11.76</v>
      </c>
      <c r="G494" s="48">
        <f t="shared" si="207"/>
        <v>14.9</v>
      </c>
      <c r="H494" s="48">
        <f t="shared" si="208"/>
        <v>6883.8</v>
      </c>
    </row>
    <row r="495" spans="1:8" s="57" customFormat="1" ht="78.75" outlineLevel="1" x14ac:dyDescent="0.25">
      <c r="A495" s="150" t="s">
        <v>3199</v>
      </c>
      <c r="B495" s="234" t="s">
        <v>3018</v>
      </c>
      <c r="C495" s="143" t="s">
        <v>2147</v>
      </c>
      <c r="D495" s="135" t="s">
        <v>71</v>
      </c>
      <c r="E495" s="144">
        <v>1137.5999999999999</v>
      </c>
      <c r="F495" s="160">
        <v>10.38</v>
      </c>
      <c r="G495" s="48">
        <f t="shared" si="207"/>
        <v>13.15</v>
      </c>
      <c r="H495" s="48">
        <f t="shared" si="208"/>
        <v>14959.44</v>
      </c>
    </row>
    <row r="496" spans="1:8" s="57" customFormat="1" ht="47.25" outlineLevel="1" x14ac:dyDescent="0.25">
      <c r="A496" s="150" t="s">
        <v>3200</v>
      </c>
      <c r="B496" s="234">
        <v>96521</v>
      </c>
      <c r="C496" s="143" t="s">
        <v>573</v>
      </c>
      <c r="D496" s="135" t="s">
        <v>153</v>
      </c>
      <c r="E496" s="144">
        <v>88.35</v>
      </c>
      <c r="F496" s="160">
        <v>26.98</v>
      </c>
      <c r="G496" s="48">
        <f t="shared" si="207"/>
        <v>34.19</v>
      </c>
      <c r="H496" s="48">
        <f t="shared" si="208"/>
        <v>3020.68</v>
      </c>
    </row>
    <row r="497" spans="1:8" s="57" customFormat="1" ht="47.25" outlineLevel="1" x14ac:dyDescent="0.25">
      <c r="A497" s="150" t="s">
        <v>3201</v>
      </c>
      <c r="B497" s="234">
        <v>96525</v>
      </c>
      <c r="C497" s="143" t="s">
        <v>574</v>
      </c>
      <c r="D497" s="135" t="s">
        <v>153</v>
      </c>
      <c r="E497" s="144">
        <v>71.89</v>
      </c>
      <c r="F497" s="160">
        <v>24.44</v>
      </c>
      <c r="G497" s="48">
        <f t="shared" si="207"/>
        <v>30.97</v>
      </c>
      <c r="H497" s="48">
        <f t="shared" si="208"/>
        <v>2226.4299999999998</v>
      </c>
    </row>
    <row r="498" spans="1:8" s="57" customFormat="1" ht="47.25" outlineLevel="1" x14ac:dyDescent="0.25">
      <c r="A498" s="150" t="s">
        <v>3202</v>
      </c>
      <c r="B498" s="234">
        <v>94099</v>
      </c>
      <c r="C498" s="143" t="s">
        <v>576</v>
      </c>
      <c r="D498" s="135" t="s">
        <v>77</v>
      </c>
      <c r="E498" s="144">
        <v>57</v>
      </c>
      <c r="F498" s="160">
        <v>2.0499999999999998</v>
      </c>
      <c r="G498" s="48">
        <f t="shared" si="207"/>
        <v>2.59</v>
      </c>
      <c r="H498" s="48">
        <f t="shared" si="208"/>
        <v>147.63</v>
      </c>
    </row>
    <row r="499" spans="1:8" s="57" customFormat="1" ht="47.25" outlineLevel="1" x14ac:dyDescent="0.25">
      <c r="A499" s="150" t="s">
        <v>3203</v>
      </c>
      <c r="B499" s="234">
        <v>94097</v>
      </c>
      <c r="C499" s="143" t="s">
        <v>244</v>
      </c>
      <c r="D499" s="135" t="s">
        <v>77</v>
      </c>
      <c r="E499" s="144">
        <v>116.95</v>
      </c>
      <c r="F499" s="160">
        <v>4.16</v>
      </c>
      <c r="G499" s="48">
        <f t="shared" si="207"/>
        <v>5.27</v>
      </c>
      <c r="H499" s="48">
        <f t="shared" si="208"/>
        <v>616.32000000000005</v>
      </c>
    </row>
    <row r="500" spans="1:8" s="57" customFormat="1" ht="31.5" outlineLevel="1" x14ac:dyDescent="0.25">
      <c r="A500" s="150" t="s">
        <v>3204</v>
      </c>
      <c r="B500" s="234">
        <v>95241</v>
      </c>
      <c r="C500" s="143" t="s">
        <v>245</v>
      </c>
      <c r="D500" s="135" t="s">
        <v>77</v>
      </c>
      <c r="E500" s="144">
        <v>173.95</v>
      </c>
      <c r="F500" s="160">
        <v>18.96</v>
      </c>
      <c r="G500" s="48">
        <f t="shared" si="207"/>
        <v>24.02</v>
      </c>
      <c r="H500" s="48">
        <f t="shared" si="208"/>
        <v>4178.2700000000004</v>
      </c>
    </row>
    <row r="501" spans="1:8" s="57" customFormat="1" ht="94.5" outlineLevel="1" x14ac:dyDescent="0.25">
      <c r="A501" s="150" t="s">
        <v>3205</v>
      </c>
      <c r="B501" s="234">
        <v>93368</v>
      </c>
      <c r="C501" s="143" t="s">
        <v>575</v>
      </c>
      <c r="D501" s="135" t="s">
        <v>153</v>
      </c>
      <c r="E501" s="144">
        <v>58.7</v>
      </c>
      <c r="F501" s="160">
        <v>9.5299999999999994</v>
      </c>
      <c r="G501" s="48">
        <f t="shared" si="207"/>
        <v>12.07</v>
      </c>
      <c r="H501" s="48">
        <f t="shared" si="208"/>
        <v>708.5</v>
      </c>
    </row>
    <row r="502" spans="1:8" s="57" customFormat="1" ht="94.5" outlineLevel="1" x14ac:dyDescent="0.25">
      <c r="A502" s="150" t="s">
        <v>3206</v>
      </c>
      <c r="B502" s="234">
        <v>93378</v>
      </c>
      <c r="C502" s="143" t="s">
        <v>641</v>
      </c>
      <c r="D502" s="135" t="s">
        <v>153</v>
      </c>
      <c r="E502" s="144">
        <v>45.84</v>
      </c>
      <c r="F502" s="160">
        <v>16.03</v>
      </c>
      <c r="G502" s="48">
        <f t="shared" si="207"/>
        <v>20.309999999999999</v>
      </c>
      <c r="H502" s="48">
        <f t="shared" si="208"/>
        <v>931.01</v>
      </c>
    </row>
    <row r="503" spans="1:8" s="57" customFormat="1" ht="31.5" outlineLevel="1" x14ac:dyDescent="0.25">
      <c r="A503" s="150" t="s">
        <v>3207</v>
      </c>
      <c r="B503" s="234">
        <v>72898</v>
      </c>
      <c r="C503" s="143" t="s">
        <v>483</v>
      </c>
      <c r="D503" s="135" t="s">
        <v>153</v>
      </c>
      <c r="E503" s="144">
        <v>57.85</v>
      </c>
      <c r="F503" s="160">
        <v>3.15</v>
      </c>
      <c r="G503" s="48">
        <f t="shared" ref="G503:G504" si="209">TRUNC(F503*(1+$E$3),2)</f>
        <v>3.99</v>
      </c>
      <c r="H503" s="48">
        <f t="shared" ref="H503:H504" si="210">TRUNC((G503*E503),2)</f>
        <v>230.82</v>
      </c>
    </row>
    <row r="504" spans="1:8" s="57" customFormat="1" ht="47.25" outlineLevel="1" x14ac:dyDescent="0.25">
      <c r="A504" s="150" t="s">
        <v>3208</v>
      </c>
      <c r="B504" s="234">
        <v>95302</v>
      </c>
      <c r="C504" s="143" t="s">
        <v>247</v>
      </c>
      <c r="D504" s="135" t="s">
        <v>484</v>
      </c>
      <c r="E504" s="144">
        <v>578.5</v>
      </c>
      <c r="F504" s="160">
        <v>1.28</v>
      </c>
      <c r="G504" s="48">
        <f t="shared" si="209"/>
        <v>1.62</v>
      </c>
      <c r="H504" s="48">
        <f t="shared" si="210"/>
        <v>937.17</v>
      </c>
    </row>
    <row r="505" spans="1:8" s="57" customFormat="1" outlineLevel="1" x14ac:dyDescent="0.25">
      <c r="A505" s="62"/>
      <c r="B505" s="62"/>
      <c r="C505" s="90" t="s">
        <v>13</v>
      </c>
      <c r="D505" s="62"/>
      <c r="E505" s="64"/>
      <c r="F505" s="64"/>
      <c r="G505" s="65"/>
      <c r="H505" s="65">
        <f>SUM(H493:H504)</f>
        <v>95924.87000000001</v>
      </c>
    </row>
    <row r="506" spans="1:8" s="57" customFormat="1" outlineLevel="1" x14ac:dyDescent="0.25">
      <c r="A506" s="119" t="s">
        <v>3209</v>
      </c>
      <c r="B506" s="61"/>
      <c r="C506" s="129" t="s">
        <v>100</v>
      </c>
      <c r="D506" s="119"/>
      <c r="E506" s="128"/>
      <c r="F506" s="128"/>
      <c r="G506" s="236"/>
      <c r="H506" s="236"/>
    </row>
    <row r="507" spans="1:8" s="57" customFormat="1" outlineLevel="1" x14ac:dyDescent="0.25">
      <c r="A507" s="150" t="s">
        <v>3210</v>
      </c>
      <c r="B507" s="135" t="s">
        <v>420</v>
      </c>
      <c r="C507" s="143" t="s">
        <v>421</v>
      </c>
      <c r="D507" s="150" t="s">
        <v>153</v>
      </c>
      <c r="E507" s="144">
        <v>78.34</v>
      </c>
      <c r="F507" s="160">
        <v>85.71</v>
      </c>
      <c r="G507" s="48">
        <f t="shared" si="205"/>
        <v>108.62</v>
      </c>
      <c r="H507" s="48">
        <f t="shared" si="206"/>
        <v>8509.2900000000009</v>
      </c>
    </row>
    <row r="508" spans="1:8" s="57" customFormat="1" ht="31.5" outlineLevel="1" x14ac:dyDescent="0.25">
      <c r="A508" s="150" t="s">
        <v>3211</v>
      </c>
      <c r="B508" s="234">
        <v>68053</v>
      </c>
      <c r="C508" s="143" t="s">
        <v>249</v>
      </c>
      <c r="D508" s="150" t="s">
        <v>77</v>
      </c>
      <c r="E508" s="144">
        <v>1566.83</v>
      </c>
      <c r="F508" s="160">
        <v>4.54</v>
      </c>
      <c r="G508" s="48">
        <f t="shared" si="205"/>
        <v>5.75</v>
      </c>
      <c r="H508" s="48">
        <f t="shared" si="206"/>
        <v>9009.27</v>
      </c>
    </row>
    <row r="509" spans="1:8" ht="47.25" x14ac:dyDescent="0.25">
      <c r="A509" s="150" t="s">
        <v>3212</v>
      </c>
      <c r="B509" s="135" t="s">
        <v>577</v>
      </c>
      <c r="C509" s="143" t="s">
        <v>578</v>
      </c>
      <c r="D509" s="150" t="s">
        <v>153</v>
      </c>
      <c r="E509" s="144">
        <v>109.68</v>
      </c>
      <c r="F509" s="145">
        <v>388.18</v>
      </c>
      <c r="G509" s="48">
        <f t="shared" si="205"/>
        <v>491.94</v>
      </c>
      <c r="H509" s="48">
        <f t="shared" si="206"/>
        <v>53955.97</v>
      </c>
    </row>
    <row r="510" spans="1:8" ht="31.5" x14ac:dyDescent="0.25">
      <c r="A510" s="150" t="s">
        <v>3213</v>
      </c>
      <c r="B510" s="234">
        <v>85662</v>
      </c>
      <c r="C510" s="143" t="s">
        <v>579</v>
      </c>
      <c r="D510" s="135" t="s">
        <v>77</v>
      </c>
      <c r="E510" s="144">
        <v>1880.2</v>
      </c>
      <c r="F510" s="160">
        <v>11.6</v>
      </c>
      <c r="G510" s="48">
        <f t="shared" ref="G510:G526" si="211">TRUNC(F510*(1+$E$3),2)</f>
        <v>14.7</v>
      </c>
      <c r="H510" s="48">
        <f t="shared" ref="H510:H526" si="212">TRUNC((G510*E510),2)</f>
        <v>27638.94</v>
      </c>
    </row>
    <row r="511" spans="1:8" s="57" customFormat="1" outlineLevel="1" x14ac:dyDescent="0.25">
      <c r="A511" s="62"/>
      <c r="B511" s="62"/>
      <c r="C511" s="90" t="s">
        <v>13</v>
      </c>
      <c r="D511" s="62"/>
      <c r="E511" s="64"/>
      <c r="F511" s="64"/>
      <c r="G511" s="65"/>
      <c r="H511" s="65">
        <f>SUM(H507:H510)</f>
        <v>99113.47</v>
      </c>
    </row>
    <row r="512" spans="1:8" s="57" customFormat="1" outlineLevel="1" x14ac:dyDescent="0.25">
      <c r="A512" s="119" t="s">
        <v>3214</v>
      </c>
      <c r="B512" s="61"/>
      <c r="C512" s="129" t="s">
        <v>3215</v>
      </c>
      <c r="D512" s="119"/>
      <c r="E512" s="128"/>
      <c r="F512" s="128"/>
      <c r="G512" s="236"/>
      <c r="H512" s="236"/>
    </row>
    <row r="513" spans="1:8" ht="47.25" x14ac:dyDescent="0.25">
      <c r="A513" s="150" t="s">
        <v>3216</v>
      </c>
      <c r="B513" s="234">
        <v>96531</v>
      </c>
      <c r="C513" s="143" t="s">
        <v>3029</v>
      </c>
      <c r="D513" s="135" t="s">
        <v>77</v>
      </c>
      <c r="E513" s="144">
        <v>113.4</v>
      </c>
      <c r="F513" s="160">
        <v>56.21</v>
      </c>
      <c r="G513" s="48">
        <f t="shared" si="211"/>
        <v>71.23</v>
      </c>
      <c r="H513" s="48">
        <f t="shared" si="212"/>
        <v>8077.48</v>
      </c>
    </row>
    <row r="514" spans="1:8" ht="47.25" x14ac:dyDescent="0.25">
      <c r="A514" s="150" t="s">
        <v>3217</v>
      </c>
      <c r="B514" s="135" t="s">
        <v>577</v>
      </c>
      <c r="C514" s="143" t="s">
        <v>578</v>
      </c>
      <c r="D514" s="150" t="s">
        <v>153</v>
      </c>
      <c r="E514" s="144">
        <v>24.3</v>
      </c>
      <c r="F514" s="160">
        <v>388.18</v>
      </c>
      <c r="G514" s="48">
        <f t="shared" si="211"/>
        <v>491.94</v>
      </c>
      <c r="H514" s="48">
        <f t="shared" si="212"/>
        <v>11954.14</v>
      </c>
    </row>
    <row r="515" spans="1:8" ht="47.25" x14ac:dyDescent="0.25">
      <c r="A515" s="150" t="s">
        <v>3218</v>
      </c>
      <c r="B515" s="234">
        <v>96544</v>
      </c>
      <c r="C515" s="143" t="s">
        <v>3030</v>
      </c>
      <c r="D515" s="150" t="s">
        <v>71</v>
      </c>
      <c r="E515" s="144">
        <v>388.52</v>
      </c>
      <c r="F515" s="145">
        <v>11.59</v>
      </c>
      <c r="G515" s="48">
        <f t="shared" si="211"/>
        <v>14.68</v>
      </c>
      <c r="H515" s="48">
        <f t="shared" si="212"/>
        <v>5703.47</v>
      </c>
    </row>
    <row r="516" spans="1:8" ht="47.25" x14ac:dyDescent="0.25">
      <c r="A516" s="150" t="s">
        <v>3219</v>
      </c>
      <c r="B516" s="234">
        <v>96547</v>
      </c>
      <c r="C516" s="143" t="s">
        <v>3033</v>
      </c>
      <c r="D516" s="150" t="s">
        <v>71</v>
      </c>
      <c r="E516" s="144">
        <v>192.99</v>
      </c>
      <c r="F516" s="145">
        <v>7.47</v>
      </c>
      <c r="G516" s="48">
        <f t="shared" si="211"/>
        <v>9.4600000000000009</v>
      </c>
      <c r="H516" s="48">
        <f t="shared" si="212"/>
        <v>1825.68</v>
      </c>
    </row>
    <row r="517" spans="1:8" s="57" customFormat="1" outlineLevel="1" x14ac:dyDescent="0.25">
      <c r="A517" s="62"/>
      <c r="B517" s="62"/>
      <c r="C517" s="90" t="s">
        <v>13</v>
      </c>
      <c r="D517" s="62"/>
      <c r="E517" s="64"/>
      <c r="F517" s="64"/>
      <c r="G517" s="65"/>
      <c r="H517" s="65">
        <f>SUM(H513:H516)</f>
        <v>27560.77</v>
      </c>
    </row>
    <row r="518" spans="1:8" s="57" customFormat="1" ht="31.5" outlineLevel="1" x14ac:dyDescent="0.25">
      <c r="A518" s="119" t="s">
        <v>3220</v>
      </c>
      <c r="B518" s="61"/>
      <c r="C518" s="129" t="s">
        <v>3047</v>
      </c>
      <c r="D518" s="119"/>
      <c r="E518" s="128"/>
      <c r="F518" s="128"/>
      <c r="G518" s="236"/>
      <c r="H518" s="236"/>
    </row>
    <row r="519" spans="1:8" s="57" customFormat="1" ht="31.5" outlineLevel="1" x14ac:dyDescent="0.25">
      <c r="A519" s="150" t="s">
        <v>3221</v>
      </c>
      <c r="B519" s="234">
        <v>5970</v>
      </c>
      <c r="C519" s="143" t="s">
        <v>250</v>
      </c>
      <c r="D519" s="150" t="s">
        <v>77</v>
      </c>
      <c r="E519" s="144">
        <v>29.7</v>
      </c>
      <c r="F519" s="145">
        <v>44.54</v>
      </c>
      <c r="G519" s="48">
        <f t="shared" ref="G519:G522" si="213">TRUNC(F519*(1+$E$3),2)</f>
        <v>56.44</v>
      </c>
      <c r="H519" s="48">
        <f t="shared" ref="H519:H522" si="214">TRUNC((G519*E519),2)</f>
        <v>1676.26</v>
      </c>
    </row>
    <row r="520" spans="1:8" s="57" customFormat="1" ht="47.25" outlineLevel="1" x14ac:dyDescent="0.25">
      <c r="A520" s="150" t="s">
        <v>3226</v>
      </c>
      <c r="B520" s="135" t="s">
        <v>577</v>
      </c>
      <c r="C520" s="143" t="s">
        <v>578</v>
      </c>
      <c r="D520" s="150" t="s">
        <v>153</v>
      </c>
      <c r="E520" s="144">
        <v>2.5</v>
      </c>
      <c r="F520" s="145">
        <v>388.18</v>
      </c>
      <c r="G520" s="48">
        <f t="shared" si="213"/>
        <v>491.94</v>
      </c>
      <c r="H520" s="48">
        <f t="shared" si="214"/>
        <v>1229.8499999999999</v>
      </c>
    </row>
    <row r="521" spans="1:8" s="57" customFormat="1" ht="78.75" outlineLevel="1" x14ac:dyDescent="0.25">
      <c r="A521" s="150" t="s">
        <v>3227</v>
      </c>
      <c r="B521" s="135" t="s">
        <v>3017</v>
      </c>
      <c r="C521" s="143" t="s">
        <v>2139</v>
      </c>
      <c r="D521" s="150" t="s">
        <v>71</v>
      </c>
      <c r="E521" s="144">
        <v>83</v>
      </c>
      <c r="F521" s="145">
        <v>11.76</v>
      </c>
      <c r="G521" s="48">
        <f t="shared" si="213"/>
        <v>14.9</v>
      </c>
      <c r="H521" s="48">
        <f t="shared" si="214"/>
        <v>1236.7</v>
      </c>
    </row>
    <row r="522" spans="1:8" s="57" customFormat="1" ht="78.75" outlineLevel="1" x14ac:dyDescent="0.25">
      <c r="A522" s="150" t="s">
        <v>3228</v>
      </c>
      <c r="B522" s="135" t="s">
        <v>3222</v>
      </c>
      <c r="C522" s="143" t="s">
        <v>2143</v>
      </c>
      <c r="D522" s="135" t="s">
        <v>71</v>
      </c>
      <c r="E522" s="144">
        <v>33</v>
      </c>
      <c r="F522" s="145">
        <v>10.81</v>
      </c>
      <c r="G522" s="48">
        <f t="shared" si="213"/>
        <v>13.69</v>
      </c>
      <c r="H522" s="48">
        <f t="shared" si="214"/>
        <v>451.77</v>
      </c>
    </row>
    <row r="523" spans="1:8" ht="78.75" x14ac:dyDescent="0.25">
      <c r="A523" s="150" t="s">
        <v>3229</v>
      </c>
      <c r="B523" s="234" t="s">
        <v>3050</v>
      </c>
      <c r="C523" s="143" t="s">
        <v>2150</v>
      </c>
      <c r="D523" s="150" t="s">
        <v>71</v>
      </c>
      <c r="E523" s="144">
        <v>47</v>
      </c>
      <c r="F523" s="145">
        <v>8.3800000000000008</v>
      </c>
      <c r="G523" s="48">
        <f t="shared" si="211"/>
        <v>10.61</v>
      </c>
      <c r="H523" s="48">
        <f t="shared" si="212"/>
        <v>498.67</v>
      </c>
    </row>
    <row r="524" spans="1:8" ht="78.75" x14ac:dyDescent="0.25">
      <c r="A524" s="150" t="s">
        <v>3230</v>
      </c>
      <c r="B524" s="135" t="s">
        <v>3154</v>
      </c>
      <c r="C524" s="143" t="s">
        <v>2154</v>
      </c>
      <c r="D524" s="150" t="s">
        <v>71</v>
      </c>
      <c r="E524" s="144">
        <v>64</v>
      </c>
      <c r="F524" s="145">
        <v>7.05</v>
      </c>
      <c r="G524" s="48">
        <f t="shared" si="211"/>
        <v>8.93</v>
      </c>
      <c r="H524" s="48">
        <f t="shared" si="212"/>
        <v>571.52</v>
      </c>
    </row>
    <row r="525" spans="1:8" ht="78.75" x14ac:dyDescent="0.25">
      <c r="A525" s="150" t="s">
        <v>3231</v>
      </c>
      <c r="B525" s="135" t="s">
        <v>3223</v>
      </c>
      <c r="C525" s="143" t="s">
        <v>2158</v>
      </c>
      <c r="D525" s="150" t="s">
        <v>71</v>
      </c>
      <c r="E525" s="144">
        <v>569</v>
      </c>
      <c r="F525" s="145">
        <v>5.61</v>
      </c>
      <c r="G525" s="48">
        <f t="shared" si="211"/>
        <v>7.1</v>
      </c>
      <c r="H525" s="48">
        <f t="shared" si="212"/>
        <v>4039.9</v>
      </c>
    </row>
    <row r="526" spans="1:8" ht="78.75" x14ac:dyDescent="0.25">
      <c r="A526" s="150" t="s">
        <v>3232</v>
      </c>
      <c r="B526" s="135" t="s">
        <v>3224</v>
      </c>
      <c r="C526" s="143" t="s">
        <v>3225</v>
      </c>
      <c r="D526" s="135" t="s">
        <v>71</v>
      </c>
      <c r="E526" s="144">
        <v>289</v>
      </c>
      <c r="F526" s="145">
        <v>5.48</v>
      </c>
      <c r="G526" s="48">
        <f t="shared" si="211"/>
        <v>6.94</v>
      </c>
      <c r="H526" s="48">
        <f t="shared" si="212"/>
        <v>2005.66</v>
      </c>
    </row>
    <row r="527" spans="1:8" x14ac:dyDescent="0.25">
      <c r="A527" s="92"/>
      <c r="B527" s="151"/>
      <c r="C527" s="63" t="s">
        <v>13</v>
      </c>
      <c r="D527" s="62"/>
      <c r="E527" s="64"/>
      <c r="F527" s="64"/>
      <c r="G527" s="65"/>
      <c r="H527" s="65">
        <f>SUM(H519:H526)</f>
        <v>11710.33</v>
      </c>
    </row>
    <row r="528" spans="1:8" s="57" customFormat="1" outlineLevel="2" x14ac:dyDescent="0.25">
      <c r="A528" s="123" t="s">
        <v>3233</v>
      </c>
      <c r="B528" s="123"/>
      <c r="C528" s="124" t="s">
        <v>256</v>
      </c>
      <c r="D528" s="123"/>
      <c r="E528" s="126"/>
      <c r="F528" s="126"/>
      <c r="G528" s="127"/>
      <c r="H528" s="126"/>
    </row>
    <row r="529" spans="1:8" ht="47.25" outlineLevel="2" x14ac:dyDescent="0.25">
      <c r="A529" s="53" t="s">
        <v>3234</v>
      </c>
      <c r="B529" s="235">
        <v>96533</v>
      </c>
      <c r="C529" s="153" t="s">
        <v>581</v>
      </c>
      <c r="D529" s="116" t="s">
        <v>77</v>
      </c>
      <c r="E529" s="158">
        <v>246.2</v>
      </c>
      <c r="F529" s="159">
        <v>48.4</v>
      </c>
      <c r="G529" s="48">
        <f t="shared" ref="G529" si="215">TRUNC(F529*(1+$E$3),2)</f>
        <v>61.33</v>
      </c>
      <c r="H529" s="48">
        <f t="shared" ref="H529" si="216">TRUNC((G529*E529),2)</f>
        <v>15099.44</v>
      </c>
    </row>
    <row r="530" spans="1:8" ht="47.25" outlineLevel="2" x14ac:dyDescent="0.25">
      <c r="A530" s="53" t="s">
        <v>3236</v>
      </c>
      <c r="B530" s="150" t="s">
        <v>577</v>
      </c>
      <c r="C530" s="153" t="s">
        <v>578</v>
      </c>
      <c r="D530" s="150" t="s">
        <v>153</v>
      </c>
      <c r="E530" s="158">
        <v>20.2</v>
      </c>
      <c r="F530" s="159">
        <v>388.18</v>
      </c>
      <c r="G530" s="48">
        <f t="shared" ref="G530:G567" si="217">TRUNC(F530*(1+$E$3),2)</f>
        <v>491.94</v>
      </c>
      <c r="H530" s="48">
        <f t="shared" ref="H530:H567" si="218">TRUNC((G530*E530),2)</f>
        <v>9937.18</v>
      </c>
    </row>
    <row r="531" spans="1:8" ht="47.25" outlineLevel="2" x14ac:dyDescent="0.25">
      <c r="A531" s="53" t="s">
        <v>3237</v>
      </c>
      <c r="B531" s="235">
        <v>96543</v>
      </c>
      <c r="C531" s="153" t="s">
        <v>3041</v>
      </c>
      <c r="D531" s="116" t="s">
        <v>71</v>
      </c>
      <c r="E531" s="158">
        <v>295</v>
      </c>
      <c r="F531" s="159">
        <v>12.81</v>
      </c>
      <c r="G531" s="48">
        <f t="shared" si="217"/>
        <v>16.23</v>
      </c>
      <c r="H531" s="48">
        <f t="shared" si="218"/>
        <v>4787.8500000000004</v>
      </c>
    </row>
    <row r="532" spans="1:8" ht="47.25" outlineLevel="2" x14ac:dyDescent="0.25">
      <c r="A532" s="53" t="s">
        <v>3238</v>
      </c>
      <c r="B532" s="235">
        <v>96545</v>
      </c>
      <c r="C532" s="153" t="s">
        <v>3031</v>
      </c>
      <c r="D532" s="116" t="s">
        <v>71</v>
      </c>
      <c r="E532" s="158">
        <v>411</v>
      </c>
      <c r="F532" s="159">
        <v>11</v>
      </c>
      <c r="G532" s="48">
        <f t="shared" si="217"/>
        <v>13.94</v>
      </c>
      <c r="H532" s="48">
        <f t="shared" si="218"/>
        <v>5729.34</v>
      </c>
    </row>
    <row r="533" spans="1:8" ht="47.25" outlineLevel="2" x14ac:dyDescent="0.25">
      <c r="A533" s="53" t="s">
        <v>3239</v>
      </c>
      <c r="B533" s="235">
        <v>96546</v>
      </c>
      <c r="C533" s="153" t="s">
        <v>3032</v>
      </c>
      <c r="D533" s="116" t="s">
        <v>71</v>
      </c>
      <c r="E533" s="158">
        <v>510</v>
      </c>
      <c r="F533" s="159">
        <v>8.9499999999999993</v>
      </c>
      <c r="G533" s="48">
        <f t="shared" si="217"/>
        <v>11.34</v>
      </c>
      <c r="H533" s="48">
        <f t="shared" si="218"/>
        <v>5783.4</v>
      </c>
    </row>
    <row r="534" spans="1:8" ht="47.25" outlineLevel="2" x14ac:dyDescent="0.25">
      <c r="A534" s="53" t="s">
        <v>3240</v>
      </c>
      <c r="B534" s="235">
        <v>96547</v>
      </c>
      <c r="C534" s="153" t="s">
        <v>3033</v>
      </c>
      <c r="D534" s="116" t="s">
        <v>71</v>
      </c>
      <c r="E534" s="158">
        <v>50</v>
      </c>
      <c r="F534" s="159">
        <v>7.47</v>
      </c>
      <c r="G534" s="48">
        <f t="shared" si="217"/>
        <v>9.4600000000000009</v>
      </c>
      <c r="H534" s="48">
        <f t="shared" si="218"/>
        <v>473</v>
      </c>
    </row>
    <row r="535" spans="1:8" s="57" customFormat="1" ht="47.25" outlineLevel="2" x14ac:dyDescent="0.25">
      <c r="A535" s="53" t="s">
        <v>3241</v>
      </c>
      <c r="B535" s="235">
        <v>96548</v>
      </c>
      <c r="C535" s="153" t="s">
        <v>3235</v>
      </c>
      <c r="D535" s="116" t="s">
        <v>71</v>
      </c>
      <c r="E535" s="158">
        <v>18</v>
      </c>
      <c r="F535" s="159">
        <v>6</v>
      </c>
      <c r="G535" s="48">
        <f t="shared" si="217"/>
        <v>7.6</v>
      </c>
      <c r="H535" s="48">
        <f t="shared" si="218"/>
        <v>136.80000000000001</v>
      </c>
    </row>
    <row r="536" spans="1:8" x14ac:dyDescent="0.25">
      <c r="A536" s="92"/>
      <c r="B536" s="151"/>
      <c r="C536" s="63" t="s">
        <v>13</v>
      </c>
      <c r="D536" s="62"/>
      <c r="E536" s="64"/>
      <c r="F536" s="64"/>
      <c r="G536" s="65"/>
      <c r="H536" s="65">
        <f>SUM(H529:H535)</f>
        <v>41947.01</v>
      </c>
    </row>
    <row r="537" spans="1:8" s="57" customFormat="1" outlineLevel="2" x14ac:dyDescent="0.25">
      <c r="A537" s="123" t="s">
        <v>3242</v>
      </c>
      <c r="B537" s="123"/>
      <c r="C537" s="124" t="s">
        <v>256</v>
      </c>
      <c r="D537" s="123"/>
      <c r="E537" s="126"/>
      <c r="F537" s="126"/>
      <c r="G537" s="127"/>
      <c r="H537" s="126"/>
    </row>
    <row r="538" spans="1:8" ht="78.75" outlineLevel="2" x14ac:dyDescent="0.25">
      <c r="A538" s="53" t="s">
        <v>3243</v>
      </c>
      <c r="B538" s="235">
        <v>92430</v>
      </c>
      <c r="C538" s="153" t="s">
        <v>584</v>
      </c>
      <c r="D538" s="116" t="s">
        <v>77</v>
      </c>
      <c r="E538" s="158">
        <v>500.1</v>
      </c>
      <c r="F538" s="159">
        <v>38.49</v>
      </c>
      <c r="G538" s="48">
        <f t="shared" si="217"/>
        <v>48.77</v>
      </c>
      <c r="H538" s="48">
        <f t="shared" si="218"/>
        <v>24389.87</v>
      </c>
    </row>
    <row r="539" spans="1:8" ht="47.25" outlineLevel="2" x14ac:dyDescent="0.25">
      <c r="A539" s="53" t="s">
        <v>3245</v>
      </c>
      <c r="B539" s="150" t="s">
        <v>577</v>
      </c>
      <c r="C539" s="153" t="s">
        <v>578</v>
      </c>
      <c r="D539" s="116" t="s">
        <v>153</v>
      </c>
      <c r="E539" s="158">
        <v>44.6</v>
      </c>
      <c r="F539" s="159">
        <v>388.18</v>
      </c>
      <c r="G539" s="48">
        <f t="shared" si="217"/>
        <v>491.94</v>
      </c>
      <c r="H539" s="48">
        <f t="shared" si="218"/>
        <v>21940.52</v>
      </c>
    </row>
    <row r="540" spans="1:8" ht="63" outlineLevel="2" x14ac:dyDescent="0.25">
      <c r="A540" s="53" t="s">
        <v>3246</v>
      </c>
      <c r="B540" s="235">
        <v>92775</v>
      </c>
      <c r="C540" s="153" t="s">
        <v>1820</v>
      </c>
      <c r="D540" s="150" t="s">
        <v>71</v>
      </c>
      <c r="E540" s="158">
        <v>709</v>
      </c>
      <c r="F540" s="159">
        <v>12.73</v>
      </c>
      <c r="G540" s="48">
        <f t="shared" si="217"/>
        <v>16.13</v>
      </c>
      <c r="H540" s="48">
        <f t="shared" si="218"/>
        <v>11436.17</v>
      </c>
    </row>
    <row r="541" spans="1:8" ht="63" outlineLevel="2" x14ac:dyDescent="0.25">
      <c r="A541" s="53" t="s">
        <v>3247</v>
      </c>
      <c r="B541" s="235">
        <v>92776</v>
      </c>
      <c r="C541" s="153" t="s">
        <v>3063</v>
      </c>
      <c r="D541" s="150" t="s">
        <v>71</v>
      </c>
      <c r="E541" s="158">
        <v>163</v>
      </c>
      <c r="F541" s="159">
        <v>11.54</v>
      </c>
      <c r="G541" s="48">
        <f t="shared" si="217"/>
        <v>14.62</v>
      </c>
      <c r="H541" s="48">
        <f t="shared" si="218"/>
        <v>2383.06</v>
      </c>
    </row>
    <row r="542" spans="1:8" ht="63" outlineLevel="2" x14ac:dyDescent="0.25">
      <c r="A542" s="53" t="s">
        <v>3248</v>
      </c>
      <c r="B542" s="235">
        <v>92777</v>
      </c>
      <c r="C542" s="153" t="s">
        <v>2178</v>
      </c>
      <c r="D542" s="150" t="s">
        <v>71</v>
      </c>
      <c r="E542" s="158">
        <v>47</v>
      </c>
      <c r="F542" s="159">
        <v>10.94</v>
      </c>
      <c r="G542" s="48">
        <f t="shared" si="217"/>
        <v>13.86</v>
      </c>
      <c r="H542" s="48">
        <f t="shared" si="218"/>
        <v>651.41999999999996</v>
      </c>
    </row>
    <row r="543" spans="1:8" ht="63" outlineLevel="2" x14ac:dyDescent="0.25">
      <c r="A543" s="53" t="s">
        <v>3249</v>
      </c>
      <c r="B543" s="235">
        <v>92778</v>
      </c>
      <c r="C543" s="153" t="s">
        <v>2174</v>
      </c>
      <c r="D543" s="116" t="s">
        <v>71</v>
      </c>
      <c r="E543" s="158">
        <v>754</v>
      </c>
      <c r="F543" s="159">
        <v>8.86</v>
      </c>
      <c r="G543" s="48">
        <f t="shared" si="217"/>
        <v>11.22</v>
      </c>
      <c r="H543" s="48">
        <f t="shared" si="218"/>
        <v>8459.8799999999992</v>
      </c>
    </row>
    <row r="544" spans="1:8" s="57" customFormat="1" ht="63" outlineLevel="2" x14ac:dyDescent="0.25">
      <c r="A544" s="53" t="s">
        <v>3250</v>
      </c>
      <c r="B544" s="235">
        <v>92779</v>
      </c>
      <c r="C544" s="153" t="s">
        <v>585</v>
      </c>
      <c r="D544" s="150" t="s">
        <v>71</v>
      </c>
      <c r="E544" s="158">
        <v>891</v>
      </c>
      <c r="F544" s="159">
        <v>7.34</v>
      </c>
      <c r="G544" s="48">
        <f t="shared" si="217"/>
        <v>9.3000000000000007</v>
      </c>
      <c r="H544" s="48">
        <f t="shared" si="218"/>
        <v>8286.2999999999993</v>
      </c>
    </row>
    <row r="545" spans="1:8" ht="63" outlineLevel="2" x14ac:dyDescent="0.25">
      <c r="A545" s="53" t="s">
        <v>3251</v>
      </c>
      <c r="B545" s="235">
        <v>92782</v>
      </c>
      <c r="C545" s="153" t="s">
        <v>3244</v>
      </c>
      <c r="D545" s="150" t="s">
        <v>71</v>
      </c>
      <c r="E545" s="158">
        <v>1563</v>
      </c>
      <c r="F545" s="159">
        <v>5.56</v>
      </c>
      <c r="G545" s="48">
        <f t="shared" si="217"/>
        <v>7.04</v>
      </c>
      <c r="H545" s="48">
        <f t="shared" si="218"/>
        <v>11003.52</v>
      </c>
    </row>
    <row r="546" spans="1:8" x14ac:dyDescent="0.25">
      <c r="A546" s="92"/>
      <c r="B546" s="151"/>
      <c r="C546" s="63" t="s">
        <v>13</v>
      </c>
      <c r="D546" s="62"/>
      <c r="E546" s="64"/>
      <c r="F546" s="64"/>
      <c r="G546" s="65"/>
      <c r="H546" s="65">
        <f>SUM(H538:H545)</f>
        <v>88550.74</v>
      </c>
    </row>
    <row r="547" spans="1:8" s="57" customFormat="1" outlineLevel="2" x14ac:dyDescent="0.25">
      <c r="A547" s="123" t="s">
        <v>3252</v>
      </c>
      <c r="B547" s="123"/>
      <c r="C547" s="124" t="s">
        <v>586</v>
      </c>
      <c r="D547" s="123"/>
      <c r="E547" s="126"/>
      <c r="F547" s="126"/>
      <c r="G547" s="127"/>
      <c r="H547" s="126"/>
    </row>
    <row r="548" spans="1:8" ht="63" outlineLevel="2" x14ac:dyDescent="0.25">
      <c r="A548" s="53" t="s">
        <v>3253</v>
      </c>
      <c r="B548" s="235">
        <v>92468</v>
      </c>
      <c r="C548" s="153" t="s">
        <v>587</v>
      </c>
      <c r="D548" s="150" t="s">
        <v>77</v>
      </c>
      <c r="E548" s="158">
        <v>669.2</v>
      </c>
      <c r="F548" s="159">
        <v>59.2</v>
      </c>
      <c r="G548" s="48">
        <f t="shared" si="217"/>
        <v>75.02</v>
      </c>
      <c r="H548" s="48">
        <f t="shared" si="218"/>
        <v>50203.38</v>
      </c>
    </row>
    <row r="549" spans="1:8" s="57" customFormat="1" ht="47.25" outlineLevel="2" x14ac:dyDescent="0.25">
      <c r="A549" s="53" t="s">
        <v>3254</v>
      </c>
      <c r="B549" s="235" t="s">
        <v>577</v>
      </c>
      <c r="C549" s="153" t="s">
        <v>578</v>
      </c>
      <c r="D549" s="150" t="s">
        <v>153</v>
      </c>
      <c r="E549" s="158">
        <v>56.5</v>
      </c>
      <c r="F549" s="159">
        <v>388.18</v>
      </c>
      <c r="G549" s="48">
        <f t="shared" si="217"/>
        <v>491.94</v>
      </c>
      <c r="H549" s="48">
        <f t="shared" si="218"/>
        <v>27794.61</v>
      </c>
    </row>
    <row r="550" spans="1:8" ht="63" outlineLevel="2" x14ac:dyDescent="0.25">
      <c r="A550" s="53" t="s">
        <v>3255</v>
      </c>
      <c r="B550" s="235">
        <v>92775</v>
      </c>
      <c r="C550" s="153" t="s">
        <v>1820</v>
      </c>
      <c r="D550" s="150" t="s">
        <v>71</v>
      </c>
      <c r="E550" s="158">
        <v>816</v>
      </c>
      <c r="F550" s="159">
        <v>12.73</v>
      </c>
      <c r="G550" s="48">
        <f t="shared" si="217"/>
        <v>16.13</v>
      </c>
      <c r="H550" s="48">
        <f t="shared" si="218"/>
        <v>13162.08</v>
      </c>
    </row>
    <row r="551" spans="1:8" ht="63" outlineLevel="2" x14ac:dyDescent="0.25">
      <c r="A551" s="53" t="s">
        <v>3256</v>
      </c>
      <c r="B551" s="235">
        <v>92776</v>
      </c>
      <c r="C551" s="153" t="s">
        <v>3063</v>
      </c>
      <c r="D551" s="150" t="s">
        <v>71</v>
      </c>
      <c r="E551" s="158">
        <v>11</v>
      </c>
      <c r="F551" s="159">
        <v>11.54</v>
      </c>
      <c r="G551" s="48">
        <f t="shared" si="217"/>
        <v>14.62</v>
      </c>
      <c r="H551" s="48">
        <f t="shared" si="218"/>
        <v>160.82</v>
      </c>
    </row>
    <row r="552" spans="1:8" ht="16.5" customHeight="1" outlineLevel="2" x14ac:dyDescent="0.25">
      <c r="A552" s="53" t="s">
        <v>3257</v>
      </c>
      <c r="B552" s="235">
        <v>92777</v>
      </c>
      <c r="C552" s="153" t="s">
        <v>2178</v>
      </c>
      <c r="D552" s="150" t="s">
        <v>71</v>
      </c>
      <c r="E552" s="158">
        <v>1192</v>
      </c>
      <c r="F552" s="159">
        <v>10.94</v>
      </c>
      <c r="G552" s="48">
        <f t="shared" si="217"/>
        <v>13.86</v>
      </c>
      <c r="H552" s="48">
        <f t="shared" si="218"/>
        <v>16521.12</v>
      </c>
    </row>
    <row r="553" spans="1:8" ht="63" outlineLevel="2" x14ac:dyDescent="0.25">
      <c r="A553" s="53" t="s">
        <v>3258</v>
      </c>
      <c r="B553" s="235">
        <v>92778</v>
      </c>
      <c r="C553" s="153" t="s">
        <v>2174</v>
      </c>
      <c r="D553" s="150" t="s">
        <v>71</v>
      </c>
      <c r="E553" s="158">
        <v>1493</v>
      </c>
      <c r="F553" s="159">
        <v>8.86</v>
      </c>
      <c r="G553" s="48">
        <f t="shared" si="217"/>
        <v>11.22</v>
      </c>
      <c r="H553" s="48">
        <f t="shared" si="218"/>
        <v>16751.46</v>
      </c>
    </row>
    <row r="554" spans="1:8" ht="63" outlineLevel="2" x14ac:dyDescent="0.25">
      <c r="A554" s="53" t="s">
        <v>3259</v>
      </c>
      <c r="B554" s="235">
        <v>92779</v>
      </c>
      <c r="C554" s="153" t="s">
        <v>585</v>
      </c>
      <c r="D554" s="150" t="s">
        <v>71</v>
      </c>
      <c r="E554" s="158">
        <v>20</v>
      </c>
      <c r="F554" s="159">
        <v>7.34</v>
      </c>
      <c r="G554" s="48">
        <f t="shared" si="217"/>
        <v>9.3000000000000007</v>
      </c>
      <c r="H554" s="48">
        <f t="shared" si="218"/>
        <v>186</v>
      </c>
    </row>
    <row r="555" spans="1:8" x14ac:dyDescent="0.25">
      <c r="A555" s="92"/>
      <c r="B555" s="151"/>
      <c r="C555" s="63" t="s">
        <v>13</v>
      </c>
      <c r="D555" s="62"/>
      <c r="E555" s="64"/>
      <c r="F555" s="64"/>
      <c r="G555" s="65"/>
      <c r="H555" s="65">
        <f>SUM(H548:H554)</f>
        <v>124779.47</v>
      </c>
    </row>
    <row r="556" spans="1:8" s="57" customFormat="1" outlineLevel="2" x14ac:dyDescent="0.25">
      <c r="A556" s="123" t="s">
        <v>3260</v>
      </c>
      <c r="B556" s="123"/>
      <c r="C556" s="124" t="s">
        <v>263</v>
      </c>
      <c r="D556" s="123"/>
      <c r="E556" s="126"/>
      <c r="F556" s="126"/>
      <c r="G556" s="127"/>
      <c r="H556" s="126"/>
    </row>
    <row r="557" spans="1:8" ht="47.25" outlineLevel="2" x14ac:dyDescent="0.25">
      <c r="A557" s="53" t="s">
        <v>3261</v>
      </c>
      <c r="B557" s="150" t="s">
        <v>3074</v>
      </c>
      <c r="C557" s="153" t="s">
        <v>3075</v>
      </c>
      <c r="D557" s="150" t="s">
        <v>77</v>
      </c>
      <c r="E557" s="158">
        <v>59.33</v>
      </c>
      <c r="F557" s="159">
        <v>89.79</v>
      </c>
      <c r="G557" s="48">
        <f t="shared" si="217"/>
        <v>113.79</v>
      </c>
      <c r="H557" s="48">
        <f t="shared" si="218"/>
        <v>6751.16</v>
      </c>
    </row>
    <row r="558" spans="1:8" ht="31.5" outlineLevel="2" x14ac:dyDescent="0.25">
      <c r="A558" s="53" t="s">
        <v>3262</v>
      </c>
      <c r="B558" s="235">
        <v>85662</v>
      </c>
      <c r="C558" s="153" t="s">
        <v>579</v>
      </c>
      <c r="D558" s="150" t="s">
        <v>77</v>
      </c>
      <c r="E558" s="158">
        <v>71.2</v>
      </c>
      <c r="F558" s="159">
        <v>11.6</v>
      </c>
      <c r="G558" s="48">
        <f t="shared" si="217"/>
        <v>14.7</v>
      </c>
      <c r="H558" s="48">
        <f t="shared" si="218"/>
        <v>1046.6400000000001</v>
      </c>
    </row>
    <row r="559" spans="1:8" x14ac:dyDescent="0.25">
      <c r="A559" s="92"/>
      <c r="B559" s="151"/>
      <c r="C559" s="63" t="s">
        <v>13</v>
      </c>
      <c r="D559" s="62"/>
      <c r="E559" s="64"/>
      <c r="F559" s="64"/>
      <c r="G559" s="65"/>
      <c r="H559" s="65">
        <f>SUM(H557:H558)</f>
        <v>7797.8</v>
      </c>
    </row>
    <row r="560" spans="1:8" s="57" customFormat="1" outlineLevel="2" x14ac:dyDescent="0.25">
      <c r="A560" s="123" t="s">
        <v>3263</v>
      </c>
      <c r="B560" s="123"/>
      <c r="C560" s="124" t="s">
        <v>3264</v>
      </c>
      <c r="D560" s="123"/>
      <c r="E560" s="126"/>
      <c r="F560" s="126"/>
      <c r="G560" s="127"/>
      <c r="H560" s="126"/>
    </row>
    <row r="561" spans="1:8" ht="47.25" outlineLevel="2" x14ac:dyDescent="0.25">
      <c r="A561" s="53" t="s">
        <v>3265</v>
      </c>
      <c r="B561" s="235" t="s">
        <v>265</v>
      </c>
      <c r="C561" s="153" t="s">
        <v>264</v>
      </c>
      <c r="D561" s="150" t="s">
        <v>71</v>
      </c>
      <c r="E561" s="158">
        <v>34855</v>
      </c>
      <c r="F561" s="159">
        <v>7.39</v>
      </c>
      <c r="G561" s="48">
        <f t="shared" si="217"/>
        <v>9.36</v>
      </c>
      <c r="H561" s="48">
        <f t="shared" si="218"/>
        <v>326242.8</v>
      </c>
    </row>
    <row r="562" spans="1:8" outlineLevel="2" x14ac:dyDescent="0.25">
      <c r="A562" s="53" t="s">
        <v>3797</v>
      </c>
      <c r="B562" s="235" t="s">
        <v>267</v>
      </c>
      <c r="C562" s="153" t="s">
        <v>266</v>
      </c>
      <c r="D562" s="150" t="s">
        <v>71</v>
      </c>
      <c r="E562" s="158">
        <v>34855</v>
      </c>
      <c r="F562" s="159">
        <v>2.12</v>
      </c>
      <c r="G562" s="48">
        <f t="shared" si="217"/>
        <v>2.68</v>
      </c>
      <c r="H562" s="48">
        <f t="shared" si="218"/>
        <v>93411.4</v>
      </c>
    </row>
    <row r="563" spans="1:8" s="57" customFormat="1" ht="31.5" outlineLevel="2" x14ac:dyDescent="0.25">
      <c r="A563" s="53" t="s">
        <v>3798</v>
      </c>
      <c r="B563" s="235" t="s">
        <v>502</v>
      </c>
      <c r="C563" s="153" t="s">
        <v>503</v>
      </c>
      <c r="D563" s="150" t="s">
        <v>77</v>
      </c>
      <c r="E563" s="158">
        <v>1053.0999999999999</v>
      </c>
      <c r="F563" s="159">
        <v>21.2</v>
      </c>
      <c r="G563" s="48">
        <f t="shared" si="217"/>
        <v>26.86</v>
      </c>
      <c r="H563" s="48">
        <f t="shared" si="218"/>
        <v>28286.26</v>
      </c>
    </row>
    <row r="564" spans="1:8" x14ac:dyDescent="0.25">
      <c r="A564" s="92"/>
      <c r="B564" s="151"/>
      <c r="C564" s="63" t="s">
        <v>13</v>
      </c>
      <c r="D564" s="62"/>
      <c r="E564" s="64"/>
      <c r="F564" s="64"/>
      <c r="G564" s="65"/>
      <c r="H564" s="65">
        <f>SUM(H561:H563)</f>
        <v>447940.45999999996</v>
      </c>
    </row>
    <row r="565" spans="1:8" s="57" customFormat="1" outlineLevel="2" x14ac:dyDescent="0.25">
      <c r="A565" s="123" t="s">
        <v>3266</v>
      </c>
      <c r="B565" s="123"/>
      <c r="C565" s="124" t="s">
        <v>3267</v>
      </c>
      <c r="D565" s="123"/>
      <c r="E565" s="126"/>
      <c r="F565" s="126"/>
      <c r="G565" s="127"/>
      <c r="H565" s="126"/>
    </row>
    <row r="566" spans="1:8" ht="47.25" outlineLevel="2" x14ac:dyDescent="0.25">
      <c r="A566" s="53" t="s">
        <v>3268</v>
      </c>
      <c r="B566" s="235" t="s">
        <v>265</v>
      </c>
      <c r="C566" s="153" t="s">
        <v>264</v>
      </c>
      <c r="D566" s="150" t="s">
        <v>71</v>
      </c>
      <c r="E566" s="158">
        <v>662.98</v>
      </c>
      <c r="F566" s="159">
        <v>7.39</v>
      </c>
      <c r="G566" s="48">
        <f t="shared" si="217"/>
        <v>9.36</v>
      </c>
      <c r="H566" s="48">
        <f t="shared" si="218"/>
        <v>6205.49</v>
      </c>
    </row>
    <row r="567" spans="1:8" outlineLevel="2" x14ac:dyDescent="0.25">
      <c r="A567" s="53" t="s">
        <v>3269</v>
      </c>
      <c r="B567" s="235" t="s">
        <v>267</v>
      </c>
      <c r="C567" s="153" t="s">
        <v>266</v>
      </c>
      <c r="D567" s="150" t="s">
        <v>71</v>
      </c>
      <c r="E567" s="158">
        <v>662.98</v>
      </c>
      <c r="F567" s="159">
        <v>2.12</v>
      </c>
      <c r="G567" s="48">
        <f t="shared" si="217"/>
        <v>2.68</v>
      </c>
      <c r="H567" s="48">
        <f t="shared" si="218"/>
        <v>1776.78</v>
      </c>
    </row>
    <row r="568" spans="1:8" ht="31.5" outlineLevel="2" x14ac:dyDescent="0.25">
      <c r="A568" s="53" t="s">
        <v>3270</v>
      </c>
      <c r="B568" s="235" t="s">
        <v>502</v>
      </c>
      <c r="C568" s="153" t="s">
        <v>503</v>
      </c>
      <c r="D568" s="150" t="s">
        <v>77</v>
      </c>
      <c r="E568" s="158">
        <v>75.27</v>
      </c>
      <c r="F568" s="159">
        <v>21.2</v>
      </c>
      <c r="G568" s="48">
        <f t="shared" ref="G568" si="219">TRUNC(F568*(1+$E$3),2)</f>
        <v>26.86</v>
      </c>
      <c r="H568" s="48">
        <f t="shared" ref="H568" si="220">TRUNC((G568*E568),2)</f>
        <v>2021.75</v>
      </c>
    </row>
    <row r="569" spans="1:8" ht="78.75" outlineLevel="2" x14ac:dyDescent="0.25">
      <c r="A569" s="53" t="s">
        <v>3271</v>
      </c>
      <c r="B569" s="235">
        <v>92921</v>
      </c>
      <c r="C569" s="153" t="s">
        <v>580</v>
      </c>
      <c r="D569" s="150" t="s">
        <v>71</v>
      </c>
      <c r="E569" s="158">
        <v>10.56</v>
      </c>
      <c r="F569" s="159">
        <v>7.05</v>
      </c>
      <c r="G569" s="48">
        <f t="shared" ref="G569" si="221">TRUNC(F569*(1+$E$3),2)</f>
        <v>8.93</v>
      </c>
      <c r="H569" s="48">
        <f t="shared" ref="H569" si="222">TRUNC((G569*E569),2)</f>
        <v>94.3</v>
      </c>
    </row>
    <row r="570" spans="1:8" outlineLevel="2" x14ac:dyDescent="0.25">
      <c r="A570" s="92"/>
      <c r="B570" s="62"/>
      <c r="C570" s="63" t="s">
        <v>13</v>
      </c>
      <c r="D570" s="62"/>
      <c r="E570" s="64"/>
      <c r="F570" s="64"/>
      <c r="G570" s="65"/>
      <c r="H570" s="65">
        <f>SUM(H566:H569)</f>
        <v>10098.32</v>
      </c>
    </row>
    <row r="571" spans="1:8" s="57" customFormat="1" outlineLevel="2" x14ac:dyDescent="0.25">
      <c r="A571" s="123" t="s">
        <v>3272</v>
      </c>
      <c r="B571" s="123"/>
      <c r="C571" s="124" t="s">
        <v>3273</v>
      </c>
      <c r="D571" s="123"/>
      <c r="E571" s="126"/>
      <c r="F571" s="126"/>
      <c r="G571" s="127"/>
      <c r="H571" s="126"/>
    </row>
    <row r="572" spans="1:8" ht="31.5" outlineLevel="2" x14ac:dyDescent="0.25">
      <c r="A572" s="53" t="s">
        <v>3274</v>
      </c>
      <c r="B572" s="235" t="s">
        <v>3049</v>
      </c>
      <c r="C572" s="153" t="s">
        <v>250</v>
      </c>
      <c r="D572" s="150" t="s">
        <v>77</v>
      </c>
      <c r="E572" s="158">
        <v>225</v>
      </c>
      <c r="F572" s="159">
        <v>44.54</v>
      </c>
      <c r="G572" s="48">
        <f t="shared" ref="G572:G575" si="223">TRUNC(F572*(1+$E$3),2)</f>
        <v>56.44</v>
      </c>
      <c r="H572" s="48">
        <f t="shared" ref="H572:H575" si="224">TRUNC((G572*E572),2)</f>
        <v>12699</v>
      </c>
    </row>
    <row r="573" spans="1:8" ht="47.25" outlineLevel="2" x14ac:dyDescent="0.25">
      <c r="A573" s="53" t="s">
        <v>3275</v>
      </c>
      <c r="B573" s="235" t="s">
        <v>577</v>
      </c>
      <c r="C573" s="153" t="s">
        <v>578</v>
      </c>
      <c r="D573" s="150" t="s">
        <v>153</v>
      </c>
      <c r="E573" s="158">
        <v>18.350000000000001</v>
      </c>
      <c r="F573" s="159">
        <v>388.18</v>
      </c>
      <c r="G573" s="48">
        <f t="shared" si="223"/>
        <v>491.94</v>
      </c>
      <c r="H573" s="48">
        <f t="shared" si="224"/>
        <v>9027.09</v>
      </c>
    </row>
    <row r="574" spans="1:8" ht="31.5" outlineLevel="2" x14ac:dyDescent="0.25">
      <c r="A574" s="53" t="s">
        <v>3276</v>
      </c>
      <c r="B574" s="235" t="s">
        <v>3026</v>
      </c>
      <c r="C574" s="153" t="s">
        <v>579</v>
      </c>
      <c r="D574" s="150" t="s">
        <v>77</v>
      </c>
      <c r="E574" s="158">
        <v>241</v>
      </c>
      <c r="F574" s="159">
        <v>11.6</v>
      </c>
      <c r="G574" s="48">
        <f t="shared" si="223"/>
        <v>14.7</v>
      </c>
      <c r="H574" s="48">
        <f t="shared" si="224"/>
        <v>3542.7</v>
      </c>
    </row>
    <row r="575" spans="1:8" ht="78.75" outlineLevel="2" x14ac:dyDescent="0.25">
      <c r="A575" s="53" t="s">
        <v>3277</v>
      </c>
      <c r="B575" s="235" t="s">
        <v>3018</v>
      </c>
      <c r="C575" s="153" t="s">
        <v>2147</v>
      </c>
      <c r="D575" s="150" t="s">
        <v>71</v>
      </c>
      <c r="E575" s="158">
        <v>712</v>
      </c>
      <c r="F575" s="159">
        <v>10.38</v>
      </c>
      <c r="G575" s="48">
        <f t="shared" si="223"/>
        <v>13.15</v>
      </c>
      <c r="H575" s="48">
        <f t="shared" si="224"/>
        <v>9362.7999999999993</v>
      </c>
    </row>
    <row r="576" spans="1:8" ht="78.75" outlineLevel="2" x14ac:dyDescent="0.25">
      <c r="A576" s="53" t="s">
        <v>3278</v>
      </c>
      <c r="B576" s="235" t="s">
        <v>3279</v>
      </c>
      <c r="C576" s="153" t="s">
        <v>3280</v>
      </c>
      <c r="D576" s="150" t="s">
        <v>77</v>
      </c>
      <c r="E576" s="158">
        <v>180</v>
      </c>
      <c r="F576" s="159">
        <v>58.09</v>
      </c>
      <c r="G576" s="48">
        <f t="shared" ref="G576" si="225">TRUNC(F576*(1+$E$3),2)</f>
        <v>73.61</v>
      </c>
      <c r="H576" s="48">
        <f t="shared" ref="H576" si="226">TRUNC((G576*E576),2)</f>
        <v>13249.8</v>
      </c>
    </row>
    <row r="577" spans="1:8" outlineLevel="2" x14ac:dyDescent="0.25">
      <c r="A577" s="92"/>
      <c r="B577" s="62"/>
      <c r="C577" s="63" t="s">
        <v>13</v>
      </c>
      <c r="D577" s="62"/>
      <c r="E577" s="64"/>
      <c r="F577" s="64"/>
      <c r="G577" s="65"/>
      <c r="H577" s="65">
        <f>SUM(H572:H576)</f>
        <v>47881.39</v>
      </c>
    </row>
    <row r="578" spans="1:8" outlineLevel="1" x14ac:dyDescent="0.25">
      <c r="A578" s="62"/>
      <c r="B578" s="62"/>
      <c r="C578" s="90" t="s">
        <v>3364</v>
      </c>
      <c r="D578" s="62"/>
      <c r="E578" s="64"/>
      <c r="F578" s="64"/>
      <c r="G578" s="65"/>
      <c r="H578" s="65">
        <f>SUM(H577,H570,H564,H559,H555,H546,H536,H527,H517,H511,H505,H491)</f>
        <v>1029082.0299999999</v>
      </c>
    </row>
    <row r="579" spans="1:8" outlineLevel="1" x14ac:dyDescent="0.25">
      <c r="A579" s="62"/>
      <c r="B579" s="62"/>
      <c r="C579" s="90" t="s">
        <v>3363</v>
      </c>
      <c r="D579" s="62"/>
      <c r="E579" s="64"/>
      <c r="F579" s="64"/>
      <c r="G579" s="65"/>
      <c r="H579" s="65">
        <f>SUM(H578,H486,H422,H386)</f>
        <v>3337416.4</v>
      </c>
    </row>
    <row r="580" spans="1:8" outlineLevel="1" x14ac:dyDescent="0.25">
      <c r="A580" s="752" t="s">
        <v>461</v>
      </c>
      <c r="B580" s="752"/>
      <c r="C580" s="752"/>
      <c r="D580" s="752"/>
      <c r="E580" s="752"/>
      <c r="F580" s="752"/>
      <c r="G580" s="752"/>
      <c r="H580" s="752"/>
    </row>
    <row r="581" spans="1:8" s="57" customFormat="1" outlineLevel="2" x14ac:dyDescent="0.25">
      <c r="A581" s="119" t="s">
        <v>31</v>
      </c>
      <c r="B581" s="61"/>
      <c r="C581" s="129" t="s">
        <v>461</v>
      </c>
      <c r="D581" s="61"/>
      <c r="E581" s="55"/>
      <c r="F581" s="56"/>
      <c r="G581" s="56"/>
      <c r="H581" s="56"/>
    </row>
    <row r="582" spans="1:8" s="57" customFormat="1" outlineLevel="2" x14ac:dyDescent="0.25">
      <c r="A582" s="119" t="s">
        <v>32</v>
      </c>
      <c r="B582" s="119"/>
      <c r="C582" s="237" t="s">
        <v>3282</v>
      </c>
      <c r="D582" s="61"/>
      <c r="E582" s="55"/>
      <c r="F582" s="56"/>
      <c r="G582" s="56"/>
      <c r="H582" s="56"/>
    </row>
    <row r="583" spans="1:8" s="57" customFormat="1" ht="78.75" outlineLevel="2" x14ac:dyDescent="0.25">
      <c r="A583" s="53" t="s">
        <v>3281</v>
      </c>
      <c r="B583" s="240">
        <v>94792</v>
      </c>
      <c r="C583" s="147" t="s">
        <v>661</v>
      </c>
      <c r="D583" s="148" t="s">
        <v>52</v>
      </c>
      <c r="E583" s="158">
        <v>4</v>
      </c>
      <c r="F583" s="145">
        <v>73.09</v>
      </c>
      <c r="G583" s="48">
        <f t="shared" ref="G583" si="227">TRUNC(F583*(1+$E$3),2)</f>
        <v>92.62</v>
      </c>
      <c r="H583" s="48">
        <f t="shared" ref="H583" si="228">TRUNC((G583*E583),2)</f>
        <v>370.48</v>
      </c>
    </row>
    <row r="584" spans="1:8" s="57" customFormat="1" ht="63" outlineLevel="2" x14ac:dyDescent="0.25">
      <c r="A584" s="53" t="s">
        <v>3296</v>
      </c>
      <c r="B584" s="239">
        <v>94489</v>
      </c>
      <c r="C584" s="147" t="s">
        <v>3283</v>
      </c>
      <c r="D584" s="148" t="s">
        <v>52</v>
      </c>
      <c r="E584" s="158">
        <v>1</v>
      </c>
      <c r="F584" s="145">
        <v>22.34</v>
      </c>
      <c r="G584" s="48">
        <f t="shared" ref="G584:G670" si="229">TRUNC(F584*(1+$E$3),2)</f>
        <v>28.31</v>
      </c>
      <c r="H584" s="48">
        <f t="shared" ref="H584:H670" si="230">TRUNC((G584*E584),2)</f>
        <v>28.31</v>
      </c>
    </row>
    <row r="585" spans="1:8" s="57" customFormat="1" ht="78.75" outlineLevel="2" x14ac:dyDescent="0.25">
      <c r="A585" s="53" t="s">
        <v>3297</v>
      </c>
      <c r="B585" s="234">
        <v>94793</v>
      </c>
      <c r="C585" s="161" t="s">
        <v>662</v>
      </c>
      <c r="D585" s="148" t="s">
        <v>52</v>
      </c>
      <c r="E585" s="158">
        <v>2</v>
      </c>
      <c r="F585" s="145">
        <v>92.56</v>
      </c>
      <c r="G585" s="48">
        <f t="shared" si="229"/>
        <v>117.3</v>
      </c>
      <c r="H585" s="48">
        <f t="shared" si="230"/>
        <v>234.6</v>
      </c>
    </row>
    <row r="586" spans="1:8" ht="31.5" outlineLevel="2" x14ac:dyDescent="0.25">
      <c r="A586" s="53" t="s">
        <v>3298</v>
      </c>
      <c r="B586" s="234" t="s">
        <v>664</v>
      </c>
      <c r="C586" s="153" t="s">
        <v>665</v>
      </c>
      <c r="D586" s="148" t="s">
        <v>52</v>
      </c>
      <c r="E586" s="158">
        <v>2</v>
      </c>
      <c r="F586" s="145">
        <v>164.01</v>
      </c>
      <c r="G586" s="48">
        <f t="shared" si="229"/>
        <v>207.84</v>
      </c>
      <c r="H586" s="48">
        <f t="shared" si="230"/>
        <v>415.68</v>
      </c>
    </row>
    <row r="587" spans="1:8" s="57" customFormat="1" ht="31.5" outlineLevel="2" x14ac:dyDescent="0.25">
      <c r="A587" s="53" t="s">
        <v>3299</v>
      </c>
      <c r="B587" s="135" t="s">
        <v>3284</v>
      </c>
      <c r="C587" s="147" t="s">
        <v>3285</v>
      </c>
      <c r="D587" s="148" t="s">
        <v>52</v>
      </c>
      <c r="E587" s="158">
        <v>1</v>
      </c>
      <c r="F587" s="145">
        <v>97.3</v>
      </c>
      <c r="G587" s="48">
        <f t="shared" si="229"/>
        <v>123.3</v>
      </c>
      <c r="H587" s="48">
        <f t="shared" si="230"/>
        <v>123.3</v>
      </c>
    </row>
    <row r="588" spans="1:8" s="57" customFormat="1" ht="47.25" outlineLevel="2" x14ac:dyDescent="0.25">
      <c r="A588" s="53" t="s">
        <v>3300</v>
      </c>
      <c r="B588" s="234">
        <v>89415</v>
      </c>
      <c r="C588" s="168" t="s">
        <v>3286</v>
      </c>
      <c r="D588" s="150" t="s">
        <v>52</v>
      </c>
      <c r="E588" s="158">
        <v>1</v>
      </c>
      <c r="F588" s="145">
        <v>8.9</v>
      </c>
      <c r="G588" s="48">
        <f t="shared" si="229"/>
        <v>11.27</v>
      </c>
      <c r="H588" s="48">
        <f t="shared" si="230"/>
        <v>11.27</v>
      </c>
    </row>
    <row r="589" spans="1:8" ht="78.75" outlineLevel="2" x14ac:dyDescent="0.25">
      <c r="A589" s="53" t="s">
        <v>3301</v>
      </c>
      <c r="B589" s="235">
        <v>94660</v>
      </c>
      <c r="C589" s="143" t="s">
        <v>3287</v>
      </c>
      <c r="D589" s="150" t="s">
        <v>52</v>
      </c>
      <c r="E589" s="158">
        <v>9</v>
      </c>
      <c r="F589" s="145">
        <v>8.36</v>
      </c>
      <c r="G589" s="48">
        <f t="shared" si="229"/>
        <v>10.59</v>
      </c>
      <c r="H589" s="48">
        <f t="shared" si="230"/>
        <v>95.31</v>
      </c>
    </row>
    <row r="590" spans="1:8" s="57" customFormat="1" ht="78.75" outlineLevel="2" x14ac:dyDescent="0.25">
      <c r="A590" s="53" t="s">
        <v>3302</v>
      </c>
      <c r="B590" s="234">
        <v>94658</v>
      </c>
      <c r="C590" s="143" t="s">
        <v>3288</v>
      </c>
      <c r="D590" s="150" t="s">
        <v>52</v>
      </c>
      <c r="E590" s="158">
        <v>9</v>
      </c>
      <c r="F590" s="145">
        <v>5.17</v>
      </c>
      <c r="G590" s="48">
        <f t="shared" si="229"/>
        <v>6.55</v>
      </c>
      <c r="H590" s="48">
        <f t="shared" si="230"/>
        <v>58.95</v>
      </c>
    </row>
    <row r="591" spans="1:8" s="57" customFormat="1" outlineLevel="2" x14ac:dyDescent="0.25">
      <c r="A591" s="53" t="s">
        <v>3303</v>
      </c>
      <c r="B591" s="234" t="s">
        <v>3289</v>
      </c>
      <c r="C591" s="161" t="s">
        <v>3290</v>
      </c>
      <c r="D591" s="135" t="s">
        <v>60</v>
      </c>
      <c r="E591" s="158">
        <v>1</v>
      </c>
      <c r="F591" s="145">
        <v>2.4900000000000002</v>
      </c>
      <c r="G591" s="48">
        <f t="shared" si="229"/>
        <v>3.15</v>
      </c>
      <c r="H591" s="48">
        <f t="shared" si="230"/>
        <v>3.15</v>
      </c>
    </row>
    <row r="592" spans="1:8" s="57" customFormat="1" ht="63" outlineLevel="2" x14ac:dyDescent="0.25">
      <c r="A592" s="53" t="s">
        <v>3304</v>
      </c>
      <c r="B592" s="234">
        <v>94674</v>
      </c>
      <c r="C592" s="161" t="s">
        <v>3291</v>
      </c>
      <c r="D592" s="150" t="s">
        <v>52</v>
      </c>
      <c r="E592" s="158">
        <v>26</v>
      </c>
      <c r="F592" s="145">
        <v>6.32</v>
      </c>
      <c r="G592" s="48">
        <f t="shared" si="229"/>
        <v>8</v>
      </c>
      <c r="H592" s="48">
        <f t="shared" si="230"/>
        <v>208</v>
      </c>
    </row>
    <row r="593" spans="1:8" ht="63" outlineLevel="2" x14ac:dyDescent="0.25">
      <c r="A593" s="53" t="s">
        <v>3305</v>
      </c>
      <c r="B593" s="234">
        <v>94676</v>
      </c>
      <c r="C593" s="161" t="s">
        <v>3292</v>
      </c>
      <c r="D593" s="135" t="s">
        <v>52</v>
      </c>
      <c r="E593" s="158">
        <v>3</v>
      </c>
      <c r="F593" s="145">
        <v>10.94</v>
      </c>
      <c r="G593" s="48">
        <f t="shared" si="229"/>
        <v>13.86</v>
      </c>
      <c r="H593" s="48">
        <f t="shared" si="230"/>
        <v>41.58</v>
      </c>
    </row>
    <row r="594" spans="1:8" ht="63" outlineLevel="2" x14ac:dyDescent="0.25">
      <c r="A594" s="53" t="s">
        <v>3306</v>
      </c>
      <c r="B594" s="234">
        <v>94650</v>
      </c>
      <c r="C594" s="169" t="s">
        <v>3293</v>
      </c>
      <c r="D594" s="135" t="s">
        <v>75</v>
      </c>
      <c r="E594" s="158">
        <v>4</v>
      </c>
      <c r="F594" s="145">
        <v>15.76</v>
      </c>
      <c r="G594" s="48">
        <f t="shared" si="229"/>
        <v>19.97</v>
      </c>
      <c r="H594" s="48">
        <f t="shared" si="230"/>
        <v>79.88</v>
      </c>
    </row>
    <row r="595" spans="1:8" s="57" customFormat="1" ht="63" outlineLevel="2" x14ac:dyDescent="0.25">
      <c r="A595" s="53" t="s">
        <v>3307</v>
      </c>
      <c r="B595" s="234">
        <v>94649</v>
      </c>
      <c r="C595" s="169" t="s">
        <v>3294</v>
      </c>
      <c r="D595" s="150" t="s">
        <v>75</v>
      </c>
      <c r="E595" s="158">
        <v>100</v>
      </c>
      <c r="F595" s="145">
        <v>11.01</v>
      </c>
      <c r="G595" s="48">
        <f t="shared" si="229"/>
        <v>13.95</v>
      </c>
      <c r="H595" s="48">
        <f t="shared" si="230"/>
        <v>1395</v>
      </c>
    </row>
    <row r="596" spans="1:8" s="57" customFormat="1" ht="47.25" outlineLevel="2" x14ac:dyDescent="0.25">
      <c r="A596" s="53" t="s">
        <v>3308</v>
      </c>
      <c r="B596" s="234">
        <v>89443</v>
      </c>
      <c r="C596" s="170" t="s">
        <v>3295</v>
      </c>
      <c r="D596" s="150" t="s">
        <v>52</v>
      </c>
      <c r="E596" s="158">
        <v>8</v>
      </c>
      <c r="F596" s="145">
        <v>8.3800000000000008</v>
      </c>
      <c r="G596" s="48">
        <f t="shared" si="229"/>
        <v>10.61</v>
      </c>
      <c r="H596" s="48">
        <f t="shared" si="230"/>
        <v>84.88</v>
      </c>
    </row>
    <row r="597" spans="1:8" s="57" customFormat="1" ht="31.5" outlineLevel="2" x14ac:dyDescent="0.25">
      <c r="A597" s="53" t="s">
        <v>3309</v>
      </c>
      <c r="B597" s="234">
        <v>89623</v>
      </c>
      <c r="C597" s="170" t="s">
        <v>660</v>
      </c>
      <c r="D597" s="150" t="s">
        <v>52</v>
      </c>
      <c r="E597" s="158">
        <v>1</v>
      </c>
      <c r="F597" s="145">
        <v>11.87</v>
      </c>
      <c r="G597" s="48">
        <f t="shared" si="229"/>
        <v>15.04</v>
      </c>
      <c r="H597" s="48">
        <f t="shared" si="230"/>
        <v>15.04</v>
      </c>
    </row>
    <row r="598" spans="1:8" outlineLevel="2" x14ac:dyDescent="0.25">
      <c r="A598" s="92"/>
      <c r="B598" s="62"/>
      <c r="C598" s="63" t="s">
        <v>13</v>
      </c>
      <c r="D598" s="62"/>
      <c r="E598" s="64"/>
      <c r="F598" s="64"/>
      <c r="G598" s="65"/>
      <c r="H598" s="65">
        <f>SUM(H583:H597)</f>
        <v>3165.43</v>
      </c>
    </row>
    <row r="599" spans="1:8" s="57" customFormat="1" outlineLevel="2" x14ac:dyDescent="0.25">
      <c r="A599" s="119" t="s">
        <v>86</v>
      </c>
      <c r="B599" s="119"/>
      <c r="C599" s="237" t="s">
        <v>163</v>
      </c>
      <c r="D599" s="61"/>
      <c r="E599" s="55"/>
      <c r="F599" s="56"/>
      <c r="G599" s="56"/>
      <c r="H599" s="56"/>
    </row>
    <row r="600" spans="1:8" s="57" customFormat="1" ht="47.25" outlineLevel="2" x14ac:dyDescent="0.25">
      <c r="A600" s="53" t="s">
        <v>3310</v>
      </c>
      <c r="B600" s="234">
        <v>90373</v>
      </c>
      <c r="C600" s="170" t="s">
        <v>652</v>
      </c>
      <c r="D600" s="150" t="s">
        <v>52</v>
      </c>
      <c r="E600" s="158">
        <v>4</v>
      </c>
      <c r="F600" s="145">
        <v>10.02</v>
      </c>
      <c r="G600" s="48">
        <f t="shared" ref="G600" si="231">TRUNC(F600*(1+$E$3),2)</f>
        <v>12.69</v>
      </c>
      <c r="H600" s="48">
        <f t="shared" ref="H600" si="232">TRUNC((G600*E600),2)</f>
        <v>50.76</v>
      </c>
    </row>
    <row r="601" spans="1:8" s="57" customFormat="1" ht="47.25" outlineLevel="2" x14ac:dyDescent="0.25">
      <c r="A601" s="53" t="s">
        <v>3311</v>
      </c>
      <c r="B601" s="234">
        <v>89374</v>
      </c>
      <c r="C601" s="170" t="s">
        <v>3752</v>
      </c>
      <c r="D601" s="150" t="s">
        <v>52</v>
      </c>
      <c r="E601" s="158">
        <v>3</v>
      </c>
      <c r="F601" s="145">
        <v>7.16</v>
      </c>
      <c r="G601" s="48">
        <f t="shared" ref="G601:G652" si="233">TRUNC(F601*(1+$E$3),2)</f>
        <v>9.07</v>
      </c>
      <c r="H601" s="48">
        <f t="shared" ref="H601:H652" si="234">TRUNC((G601*E601),2)</f>
        <v>27.21</v>
      </c>
    </row>
    <row r="602" spans="1:8" s="57" customFormat="1" ht="47.25" outlineLevel="2" x14ac:dyDescent="0.25">
      <c r="A602" s="53" t="s">
        <v>3312</v>
      </c>
      <c r="B602" s="234">
        <v>89381</v>
      </c>
      <c r="C602" s="170" t="s">
        <v>3753</v>
      </c>
      <c r="D602" s="150" t="s">
        <v>52</v>
      </c>
      <c r="E602" s="158">
        <v>10</v>
      </c>
      <c r="F602" s="145">
        <v>9.0399999999999991</v>
      </c>
      <c r="G602" s="48">
        <f t="shared" si="233"/>
        <v>11.45</v>
      </c>
      <c r="H602" s="48">
        <f t="shared" si="234"/>
        <v>114.5</v>
      </c>
    </row>
    <row r="603" spans="1:8" s="57" customFormat="1" ht="78.75" outlineLevel="2" x14ac:dyDescent="0.25">
      <c r="A603" s="53" t="s">
        <v>3313</v>
      </c>
      <c r="B603" s="234">
        <v>94714</v>
      </c>
      <c r="C603" s="170" t="s">
        <v>667</v>
      </c>
      <c r="D603" s="150" t="s">
        <v>52</v>
      </c>
      <c r="E603" s="158">
        <v>2</v>
      </c>
      <c r="F603" s="145">
        <v>216.89</v>
      </c>
      <c r="G603" s="48">
        <f t="shared" si="233"/>
        <v>274.86</v>
      </c>
      <c r="H603" s="48">
        <f t="shared" si="234"/>
        <v>549.72</v>
      </c>
    </row>
    <row r="604" spans="1:8" s="57" customFormat="1" ht="63" outlineLevel="2" x14ac:dyDescent="0.25">
      <c r="A604" s="53" t="s">
        <v>3314</v>
      </c>
      <c r="B604" s="234">
        <v>89376</v>
      </c>
      <c r="C604" s="170" t="s">
        <v>3754</v>
      </c>
      <c r="D604" s="150" t="s">
        <v>52</v>
      </c>
      <c r="E604" s="158">
        <v>3</v>
      </c>
      <c r="F604" s="145">
        <v>4.03</v>
      </c>
      <c r="G604" s="48">
        <f t="shared" si="233"/>
        <v>5.0999999999999996</v>
      </c>
      <c r="H604" s="48">
        <f t="shared" si="234"/>
        <v>15.3</v>
      </c>
    </row>
    <row r="605" spans="1:8" s="57" customFormat="1" ht="63" outlineLevel="2" x14ac:dyDescent="0.25">
      <c r="A605" s="53" t="s">
        <v>3315</v>
      </c>
      <c r="B605" s="234">
        <v>89383</v>
      </c>
      <c r="C605" s="170" t="s">
        <v>3755</v>
      </c>
      <c r="D605" s="150" t="s">
        <v>52</v>
      </c>
      <c r="E605" s="158">
        <v>40</v>
      </c>
      <c r="F605" s="145">
        <v>4.7</v>
      </c>
      <c r="G605" s="48">
        <f t="shared" si="233"/>
        <v>5.95</v>
      </c>
      <c r="H605" s="48">
        <f t="shared" si="234"/>
        <v>238</v>
      </c>
    </row>
    <row r="606" spans="1:8" s="57" customFormat="1" ht="78.75" outlineLevel="2" x14ac:dyDescent="0.25">
      <c r="A606" s="53" t="s">
        <v>3316</v>
      </c>
      <c r="B606" s="234">
        <v>94662</v>
      </c>
      <c r="C606" s="170" t="s">
        <v>3756</v>
      </c>
      <c r="D606" s="150" t="s">
        <v>52</v>
      </c>
      <c r="E606" s="158">
        <v>42</v>
      </c>
      <c r="F606" s="145">
        <v>9.06</v>
      </c>
      <c r="G606" s="48">
        <f t="shared" si="233"/>
        <v>11.48</v>
      </c>
      <c r="H606" s="48">
        <f t="shared" si="234"/>
        <v>482.16</v>
      </c>
    </row>
    <row r="607" spans="1:8" s="57" customFormat="1" ht="78.75" outlineLevel="2" x14ac:dyDescent="0.25">
      <c r="A607" s="53" t="s">
        <v>3317</v>
      </c>
      <c r="B607" s="234">
        <v>94664</v>
      </c>
      <c r="C607" s="170" t="s">
        <v>3757</v>
      </c>
      <c r="D607" s="150" t="s">
        <v>52</v>
      </c>
      <c r="E607" s="158">
        <v>10</v>
      </c>
      <c r="F607" s="145">
        <v>19.149999999999999</v>
      </c>
      <c r="G607" s="48">
        <f t="shared" si="233"/>
        <v>24.26</v>
      </c>
      <c r="H607" s="48">
        <f t="shared" si="234"/>
        <v>242.6</v>
      </c>
    </row>
    <row r="608" spans="1:8" s="57" customFormat="1" ht="78.75" outlineLevel="2" x14ac:dyDescent="0.25">
      <c r="A608" s="53" t="s">
        <v>3318</v>
      </c>
      <c r="B608" s="234">
        <v>94666</v>
      </c>
      <c r="C608" s="170" t="s">
        <v>3758</v>
      </c>
      <c r="D608" s="150" t="s">
        <v>52</v>
      </c>
      <c r="E608" s="158">
        <v>6</v>
      </c>
      <c r="F608" s="145">
        <v>26.04</v>
      </c>
      <c r="G608" s="48">
        <f t="shared" si="233"/>
        <v>33</v>
      </c>
      <c r="H608" s="48">
        <f t="shared" si="234"/>
        <v>198</v>
      </c>
    </row>
    <row r="609" spans="1:8" s="57" customFormat="1" ht="78.75" outlineLevel="2" x14ac:dyDescent="0.25">
      <c r="A609" s="53" t="s">
        <v>3319</v>
      </c>
      <c r="B609" s="234">
        <v>94668</v>
      </c>
      <c r="C609" s="170" t="s">
        <v>3759</v>
      </c>
      <c r="D609" s="150" t="s">
        <v>52</v>
      </c>
      <c r="E609" s="158">
        <v>4</v>
      </c>
      <c r="F609" s="145">
        <v>42.02</v>
      </c>
      <c r="G609" s="48">
        <f t="shared" si="233"/>
        <v>53.25</v>
      </c>
      <c r="H609" s="48">
        <f t="shared" si="234"/>
        <v>213</v>
      </c>
    </row>
    <row r="610" spans="1:8" s="57" customFormat="1" ht="31.5" outlineLevel="2" x14ac:dyDescent="0.25">
      <c r="A610" s="53" t="s">
        <v>3320</v>
      </c>
      <c r="B610" s="234" t="s">
        <v>3760</v>
      </c>
      <c r="C610" s="170" t="s">
        <v>3761</v>
      </c>
      <c r="D610" s="150" t="s">
        <v>52</v>
      </c>
      <c r="E610" s="158">
        <v>19</v>
      </c>
      <c r="F610" s="145">
        <v>11.26</v>
      </c>
      <c r="G610" s="48">
        <f t="shared" si="233"/>
        <v>14.26</v>
      </c>
      <c r="H610" s="48">
        <f t="shared" si="234"/>
        <v>270.94</v>
      </c>
    </row>
    <row r="611" spans="1:8" s="57" customFormat="1" ht="31.5" outlineLevel="2" x14ac:dyDescent="0.25">
      <c r="A611" s="53" t="s">
        <v>3321</v>
      </c>
      <c r="B611" s="234" t="s">
        <v>352</v>
      </c>
      <c r="C611" s="170" t="s">
        <v>646</v>
      </c>
      <c r="D611" s="150" t="s">
        <v>52</v>
      </c>
      <c r="E611" s="158">
        <v>1</v>
      </c>
      <c r="F611" s="145">
        <v>20.72</v>
      </c>
      <c r="G611" s="48">
        <f t="shared" si="233"/>
        <v>26.25</v>
      </c>
      <c r="H611" s="48">
        <f t="shared" si="234"/>
        <v>26.25</v>
      </c>
    </row>
    <row r="612" spans="1:8" s="57" customFormat="1" ht="31.5" outlineLevel="2" x14ac:dyDescent="0.25">
      <c r="A612" s="53" t="s">
        <v>3322</v>
      </c>
      <c r="B612" s="234" t="s">
        <v>647</v>
      </c>
      <c r="C612" s="170" t="s">
        <v>648</v>
      </c>
      <c r="D612" s="150" t="s">
        <v>52</v>
      </c>
      <c r="E612" s="158">
        <v>22</v>
      </c>
      <c r="F612" s="145">
        <v>13.15</v>
      </c>
      <c r="G612" s="48">
        <f t="shared" si="233"/>
        <v>16.66</v>
      </c>
      <c r="H612" s="48">
        <f t="shared" si="234"/>
        <v>366.52</v>
      </c>
    </row>
    <row r="613" spans="1:8" s="57" customFormat="1" ht="31.5" outlineLevel="2" x14ac:dyDescent="0.25">
      <c r="A613" s="53" t="s">
        <v>3323</v>
      </c>
      <c r="B613" s="234" t="s">
        <v>649</v>
      </c>
      <c r="C613" s="170" t="s">
        <v>650</v>
      </c>
      <c r="D613" s="150" t="s">
        <v>52</v>
      </c>
      <c r="E613" s="158">
        <v>8</v>
      </c>
      <c r="F613" s="145">
        <v>17.34</v>
      </c>
      <c r="G613" s="48">
        <f t="shared" si="233"/>
        <v>21.97</v>
      </c>
      <c r="H613" s="48">
        <f t="shared" si="234"/>
        <v>175.76</v>
      </c>
    </row>
    <row r="614" spans="1:8" s="57" customFormat="1" ht="47.25" outlineLevel="2" x14ac:dyDescent="0.25">
      <c r="A614" s="53" t="s">
        <v>3324</v>
      </c>
      <c r="B614" s="234" t="s">
        <v>411</v>
      </c>
      <c r="C614" s="170" t="s">
        <v>651</v>
      </c>
      <c r="D614" s="150" t="s">
        <v>52</v>
      </c>
      <c r="E614" s="158">
        <v>6</v>
      </c>
      <c r="F614" s="145">
        <v>25.36</v>
      </c>
      <c r="G614" s="48">
        <f t="shared" si="233"/>
        <v>32.130000000000003</v>
      </c>
      <c r="H614" s="48">
        <f t="shared" si="234"/>
        <v>192.78</v>
      </c>
    </row>
    <row r="615" spans="1:8" s="57" customFormat="1" ht="31.5" outlineLevel="2" x14ac:dyDescent="0.25">
      <c r="A615" s="53" t="s">
        <v>3325</v>
      </c>
      <c r="B615" s="239" t="s">
        <v>3762</v>
      </c>
      <c r="C615" s="171" t="s">
        <v>3763</v>
      </c>
      <c r="D615" s="148" t="s">
        <v>52</v>
      </c>
      <c r="E615" s="158">
        <v>3</v>
      </c>
      <c r="F615" s="145">
        <v>30.59</v>
      </c>
      <c r="G615" s="48">
        <f t="shared" si="233"/>
        <v>38.76</v>
      </c>
      <c r="H615" s="48">
        <f t="shared" si="234"/>
        <v>116.28</v>
      </c>
    </row>
    <row r="616" spans="1:8" s="57" customFormat="1" outlineLevel="2" x14ac:dyDescent="0.25">
      <c r="A616" s="53" t="s">
        <v>3326</v>
      </c>
      <c r="B616" s="146" t="s">
        <v>3764</v>
      </c>
      <c r="C616" s="171" t="s">
        <v>3765</v>
      </c>
      <c r="D616" s="148" t="s">
        <v>52</v>
      </c>
      <c r="E616" s="158">
        <v>2</v>
      </c>
      <c r="F616" s="145">
        <v>2.63</v>
      </c>
      <c r="G616" s="48">
        <f t="shared" si="233"/>
        <v>3.33</v>
      </c>
      <c r="H616" s="48">
        <f t="shared" si="234"/>
        <v>6.66</v>
      </c>
    </row>
    <row r="617" spans="1:8" s="57" customFormat="1" ht="47.25" outlineLevel="2" x14ac:dyDescent="0.25">
      <c r="A617" s="53" t="s">
        <v>3327</v>
      </c>
      <c r="B617" s="234">
        <v>89362</v>
      </c>
      <c r="C617" s="170" t="s">
        <v>3766</v>
      </c>
      <c r="D617" s="150" t="s">
        <v>52</v>
      </c>
      <c r="E617" s="158">
        <v>44</v>
      </c>
      <c r="F617" s="145">
        <v>6.04</v>
      </c>
      <c r="G617" s="48">
        <f t="shared" si="233"/>
        <v>7.65</v>
      </c>
      <c r="H617" s="48">
        <f t="shared" si="234"/>
        <v>336.6</v>
      </c>
    </row>
    <row r="618" spans="1:8" s="57" customFormat="1" ht="63" outlineLevel="2" x14ac:dyDescent="0.25">
      <c r="A618" s="53" t="s">
        <v>3328</v>
      </c>
      <c r="B618" s="234">
        <v>94678</v>
      </c>
      <c r="C618" s="171" t="s">
        <v>3767</v>
      </c>
      <c r="D618" s="150" t="s">
        <v>52</v>
      </c>
      <c r="E618" s="158">
        <v>31</v>
      </c>
      <c r="F618" s="145">
        <v>11.36</v>
      </c>
      <c r="G618" s="48">
        <f t="shared" si="233"/>
        <v>14.39</v>
      </c>
      <c r="H618" s="48">
        <f t="shared" si="234"/>
        <v>446.09</v>
      </c>
    </row>
    <row r="619" spans="1:8" s="57" customFormat="1" ht="63" outlineLevel="2" x14ac:dyDescent="0.25">
      <c r="A619" s="53" t="s">
        <v>3329</v>
      </c>
      <c r="B619" s="234">
        <v>94680</v>
      </c>
      <c r="C619" s="170" t="s">
        <v>3768</v>
      </c>
      <c r="D619" s="150" t="s">
        <v>52</v>
      </c>
      <c r="E619" s="158">
        <v>15</v>
      </c>
      <c r="F619" s="145">
        <v>31.85</v>
      </c>
      <c r="G619" s="48">
        <f t="shared" si="233"/>
        <v>40.36</v>
      </c>
      <c r="H619" s="48">
        <f t="shared" si="234"/>
        <v>605.4</v>
      </c>
    </row>
    <row r="620" spans="1:8" s="57" customFormat="1" ht="63" outlineLevel="2" x14ac:dyDescent="0.25">
      <c r="A620" s="53" t="s">
        <v>3330</v>
      </c>
      <c r="B620" s="234">
        <v>94682</v>
      </c>
      <c r="C620" s="171" t="s">
        <v>3769</v>
      </c>
      <c r="D620" s="150" t="s">
        <v>52</v>
      </c>
      <c r="E620" s="158">
        <v>10</v>
      </c>
      <c r="F620" s="145">
        <v>73.59</v>
      </c>
      <c r="G620" s="48">
        <f t="shared" si="233"/>
        <v>93.26</v>
      </c>
      <c r="H620" s="48">
        <f t="shared" si="234"/>
        <v>932.6</v>
      </c>
    </row>
    <row r="621" spans="1:8" s="57" customFormat="1" ht="63" outlineLevel="2" x14ac:dyDescent="0.25">
      <c r="A621" s="53" t="s">
        <v>3331</v>
      </c>
      <c r="B621" s="234">
        <v>94684</v>
      </c>
      <c r="C621" s="171" t="s">
        <v>3770</v>
      </c>
      <c r="D621" s="150" t="s">
        <v>52</v>
      </c>
      <c r="E621" s="158">
        <v>12</v>
      </c>
      <c r="F621" s="145">
        <v>91.35</v>
      </c>
      <c r="G621" s="48">
        <f t="shared" si="233"/>
        <v>115.76</v>
      </c>
      <c r="H621" s="48">
        <f t="shared" si="234"/>
        <v>1389.12</v>
      </c>
    </row>
    <row r="622" spans="1:8" s="57" customFormat="1" ht="47.25" outlineLevel="2" x14ac:dyDescent="0.25">
      <c r="A622" s="53" t="s">
        <v>3332</v>
      </c>
      <c r="B622" s="234">
        <v>72601</v>
      </c>
      <c r="C622" s="171" t="s">
        <v>3771</v>
      </c>
      <c r="D622" s="150" t="s">
        <v>52</v>
      </c>
      <c r="E622" s="158">
        <v>1</v>
      </c>
      <c r="F622" s="145">
        <v>7.77</v>
      </c>
      <c r="G622" s="48">
        <f t="shared" si="233"/>
        <v>9.84</v>
      </c>
      <c r="H622" s="48">
        <f t="shared" si="234"/>
        <v>9.84</v>
      </c>
    </row>
    <row r="623" spans="1:8" s="57" customFormat="1" ht="47.25" outlineLevel="2" x14ac:dyDescent="0.25">
      <c r="A623" s="53" t="s">
        <v>3333</v>
      </c>
      <c r="B623" s="234">
        <v>89355</v>
      </c>
      <c r="C623" s="170" t="s">
        <v>3772</v>
      </c>
      <c r="D623" s="150" t="s">
        <v>75</v>
      </c>
      <c r="E623" s="158">
        <v>1.1499999999999999</v>
      </c>
      <c r="F623" s="145">
        <v>12.68</v>
      </c>
      <c r="G623" s="48">
        <f t="shared" si="233"/>
        <v>16.059999999999999</v>
      </c>
      <c r="H623" s="48">
        <f t="shared" si="234"/>
        <v>18.46</v>
      </c>
    </row>
    <row r="624" spans="1:8" s="57" customFormat="1" ht="63" outlineLevel="2" x14ac:dyDescent="0.25">
      <c r="A624" s="53" t="s">
        <v>3334</v>
      </c>
      <c r="B624" s="234">
        <v>94648</v>
      </c>
      <c r="C624" s="170" t="s">
        <v>3773</v>
      </c>
      <c r="D624" s="150" t="s">
        <v>75</v>
      </c>
      <c r="E624" s="158">
        <v>98.51</v>
      </c>
      <c r="F624" s="145">
        <v>7.38</v>
      </c>
      <c r="G624" s="48">
        <f t="shared" si="233"/>
        <v>9.35</v>
      </c>
      <c r="H624" s="48">
        <f t="shared" si="234"/>
        <v>921.06</v>
      </c>
    </row>
    <row r="625" spans="1:8" s="57" customFormat="1" ht="63" outlineLevel="2" x14ac:dyDescent="0.25">
      <c r="A625" s="53" t="s">
        <v>3335</v>
      </c>
      <c r="B625" s="234">
        <v>94651</v>
      </c>
      <c r="C625" s="170" t="s">
        <v>3774</v>
      </c>
      <c r="D625" s="150" t="s">
        <v>75</v>
      </c>
      <c r="E625" s="158">
        <v>102.18</v>
      </c>
      <c r="F625" s="145">
        <v>18.100000000000001</v>
      </c>
      <c r="G625" s="48">
        <f t="shared" si="233"/>
        <v>22.93</v>
      </c>
      <c r="H625" s="48">
        <f t="shared" si="234"/>
        <v>2342.98</v>
      </c>
    </row>
    <row r="626" spans="1:8" s="57" customFormat="1" ht="63" outlineLevel="2" x14ac:dyDescent="0.25">
      <c r="A626" s="53" t="s">
        <v>3336</v>
      </c>
      <c r="B626" s="234">
        <v>94652</v>
      </c>
      <c r="C626" s="170" t="s">
        <v>3775</v>
      </c>
      <c r="D626" s="150" t="s">
        <v>75</v>
      </c>
      <c r="E626" s="158">
        <v>34.299999999999997</v>
      </c>
      <c r="F626" s="145">
        <v>27.96</v>
      </c>
      <c r="G626" s="48">
        <f t="shared" si="233"/>
        <v>35.43</v>
      </c>
      <c r="H626" s="48">
        <f t="shared" si="234"/>
        <v>1215.24</v>
      </c>
    </row>
    <row r="627" spans="1:8" s="57" customFormat="1" ht="63" outlineLevel="2" x14ac:dyDescent="0.25">
      <c r="A627" s="53" t="s">
        <v>3337</v>
      </c>
      <c r="B627" s="234">
        <v>94653</v>
      </c>
      <c r="C627" s="170" t="s">
        <v>3776</v>
      </c>
      <c r="D627" s="150" t="s">
        <v>75</v>
      </c>
      <c r="E627" s="158">
        <v>22.34</v>
      </c>
      <c r="F627" s="145">
        <v>35.299999999999997</v>
      </c>
      <c r="G627" s="48">
        <f t="shared" si="233"/>
        <v>44.73</v>
      </c>
      <c r="H627" s="48">
        <f t="shared" si="234"/>
        <v>999.26</v>
      </c>
    </row>
    <row r="628" spans="1:8" s="57" customFormat="1" ht="63" outlineLevel="2" x14ac:dyDescent="0.25">
      <c r="A628" s="53" t="s">
        <v>3338</v>
      </c>
      <c r="B628" s="234">
        <v>94654</v>
      </c>
      <c r="C628" s="170" t="s">
        <v>3777</v>
      </c>
      <c r="D628" s="150" t="s">
        <v>75</v>
      </c>
      <c r="E628" s="158">
        <v>120.8</v>
      </c>
      <c r="F628" s="145">
        <v>47.73</v>
      </c>
      <c r="G628" s="48">
        <f t="shared" si="233"/>
        <v>60.48</v>
      </c>
      <c r="H628" s="48">
        <f t="shared" si="234"/>
        <v>7305.98</v>
      </c>
    </row>
    <row r="629" spans="1:8" s="57" customFormat="1" ht="47.25" outlineLevel="2" x14ac:dyDescent="0.25">
      <c r="A629" s="53" t="s">
        <v>3339</v>
      </c>
      <c r="B629" s="234">
        <v>89440</v>
      </c>
      <c r="C629" s="170" t="s">
        <v>3778</v>
      </c>
      <c r="D629" s="150" t="s">
        <v>52</v>
      </c>
      <c r="E629" s="158">
        <v>7</v>
      </c>
      <c r="F629" s="145">
        <v>5.82</v>
      </c>
      <c r="G629" s="48">
        <f t="shared" si="233"/>
        <v>7.37</v>
      </c>
      <c r="H629" s="48">
        <f t="shared" si="234"/>
        <v>51.59</v>
      </c>
    </row>
    <row r="630" spans="1:8" s="57" customFormat="1" ht="47.25" outlineLevel="2" x14ac:dyDescent="0.25">
      <c r="A630" s="53" t="s">
        <v>3340</v>
      </c>
      <c r="B630" s="234">
        <v>90373</v>
      </c>
      <c r="C630" s="170" t="s">
        <v>652</v>
      </c>
      <c r="D630" s="150" t="s">
        <v>52</v>
      </c>
      <c r="E630" s="158">
        <v>4</v>
      </c>
      <c r="F630" s="145">
        <v>10.02</v>
      </c>
      <c r="G630" s="48">
        <f t="shared" si="233"/>
        <v>12.69</v>
      </c>
      <c r="H630" s="48">
        <f t="shared" si="234"/>
        <v>50.76</v>
      </c>
    </row>
    <row r="631" spans="1:8" s="57" customFormat="1" ht="63" outlineLevel="2" x14ac:dyDescent="0.25">
      <c r="A631" s="53" t="s">
        <v>3341</v>
      </c>
      <c r="B631" s="234">
        <v>89441</v>
      </c>
      <c r="C631" s="170" t="s">
        <v>654</v>
      </c>
      <c r="D631" s="150" t="s">
        <v>52</v>
      </c>
      <c r="E631" s="158">
        <v>23</v>
      </c>
      <c r="F631" s="145">
        <v>12.37</v>
      </c>
      <c r="G631" s="48">
        <f t="shared" si="233"/>
        <v>15.67</v>
      </c>
      <c r="H631" s="48">
        <f t="shared" si="234"/>
        <v>360.41</v>
      </c>
    </row>
    <row r="632" spans="1:8" s="57" customFormat="1" ht="63" outlineLevel="2" x14ac:dyDescent="0.25">
      <c r="A632" s="53" t="s">
        <v>3342</v>
      </c>
      <c r="B632" s="234">
        <v>94499</v>
      </c>
      <c r="C632" s="170" t="s">
        <v>301</v>
      </c>
      <c r="D632" s="150" t="s">
        <v>52</v>
      </c>
      <c r="E632" s="158">
        <v>3</v>
      </c>
      <c r="F632" s="145">
        <v>153.57</v>
      </c>
      <c r="G632" s="48">
        <f t="shared" si="233"/>
        <v>194.61</v>
      </c>
      <c r="H632" s="48">
        <f t="shared" si="234"/>
        <v>583.83000000000004</v>
      </c>
    </row>
    <row r="633" spans="1:8" s="57" customFormat="1" ht="63" outlineLevel="2" x14ac:dyDescent="0.25">
      <c r="A633" s="53" t="s">
        <v>3343</v>
      </c>
      <c r="B633" s="234">
        <v>94500</v>
      </c>
      <c r="C633" s="170" t="s">
        <v>668</v>
      </c>
      <c r="D633" s="150" t="s">
        <v>52</v>
      </c>
      <c r="E633" s="158">
        <v>2</v>
      </c>
      <c r="F633" s="145">
        <v>181.48</v>
      </c>
      <c r="G633" s="48">
        <f t="shared" si="233"/>
        <v>229.98</v>
      </c>
      <c r="H633" s="48">
        <f t="shared" si="234"/>
        <v>459.96</v>
      </c>
    </row>
    <row r="634" spans="1:8" s="57" customFormat="1" ht="63" outlineLevel="2" x14ac:dyDescent="0.25">
      <c r="A634" s="53" t="s">
        <v>3344</v>
      </c>
      <c r="B634" s="234">
        <v>94498</v>
      </c>
      <c r="C634" s="170" t="s">
        <v>3779</v>
      </c>
      <c r="D634" s="150" t="s">
        <v>52</v>
      </c>
      <c r="E634" s="158">
        <v>5</v>
      </c>
      <c r="F634" s="145">
        <v>87.7</v>
      </c>
      <c r="G634" s="48">
        <f t="shared" si="233"/>
        <v>111.14</v>
      </c>
      <c r="H634" s="48">
        <f t="shared" si="234"/>
        <v>555.70000000000005</v>
      </c>
    </row>
    <row r="635" spans="1:8" s="57" customFormat="1" ht="47.25" outlineLevel="2" x14ac:dyDescent="0.25">
      <c r="A635" s="53" t="s">
        <v>3345</v>
      </c>
      <c r="B635" s="234">
        <v>89987</v>
      </c>
      <c r="C635" s="170" t="s">
        <v>644</v>
      </c>
      <c r="D635" s="150" t="s">
        <v>52</v>
      </c>
      <c r="E635" s="158">
        <v>15</v>
      </c>
      <c r="F635" s="145">
        <v>48.2</v>
      </c>
      <c r="G635" s="48">
        <f t="shared" si="233"/>
        <v>61.08</v>
      </c>
      <c r="H635" s="48">
        <f t="shared" si="234"/>
        <v>916.2</v>
      </c>
    </row>
    <row r="636" spans="1:8" s="57" customFormat="1" ht="47.25" outlineLevel="2" x14ac:dyDescent="0.25">
      <c r="A636" s="53" t="s">
        <v>3346</v>
      </c>
      <c r="B636" s="234">
        <v>89985</v>
      </c>
      <c r="C636" s="170" t="s">
        <v>645</v>
      </c>
      <c r="D636" s="150" t="s">
        <v>52</v>
      </c>
      <c r="E636" s="158">
        <v>8</v>
      </c>
      <c r="F636" s="145">
        <v>45.95</v>
      </c>
      <c r="G636" s="48">
        <f t="shared" si="233"/>
        <v>58.23</v>
      </c>
      <c r="H636" s="48">
        <f t="shared" si="234"/>
        <v>465.84</v>
      </c>
    </row>
    <row r="637" spans="1:8" s="57" customFormat="1" ht="78.75" outlineLevel="2" x14ac:dyDescent="0.25">
      <c r="A637" s="53" t="s">
        <v>3347</v>
      </c>
      <c r="B637" s="234">
        <v>94794</v>
      </c>
      <c r="C637" s="170" t="s">
        <v>3780</v>
      </c>
      <c r="D637" s="150" t="s">
        <v>52</v>
      </c>
      <c r="E637" s="158">
        <v>9</v>
      </c>
      <c r="F637" s="145">
        <v>95.65</v>
      </c>
      <c r="G637" s="48">
        <f t="shared" si="233"/>
        <v>121.21</v>
      </c>
      <c r="H637" s="48">
        <f t="shared" si="234"/>
        <v>1090.8900000000001</v>
      </c>
    </row>
    <row r="638" spans="1:8" s="57" customFormat="1" ht="31.5" outlineLevel="2" x14ac:dyDescent="0.25">
      <c r="A638" s="53" t="s">
        <v>3348</v>
      </c>
      <c r="B638" s="239">
        <v>89625</v>
      </c>
      <c r="C638" s="171" t="s">
        <v>442</v>
      </c>
      <c r="D638" s="148" t="s">
        <v>52</v>
      </c>
      <c r="E638" s="158">
        <v>7</v>
      </c>
      <c r="F638" s="145">
        <v>14.35</v>
      </c>
      <c r="G638" s="48">
        <f t="shared" si="233"/>
        <v>18.18</v>
      </c>
      <c r="H638" s="48">
        <f t="shared" si="234"/>
        <v>127.26</v>
      </c>
    </row>
    <row r="639" spans="1:8" s="57" customFormat="1" ht="31.5" outlineLevel="2" x14ac:dyDescent="0.25">
      <c r="A639" s="53" t="s">
        <v>3349</v>
      </c>
      <c r="B639" s="239">
        <v>89628</v>
      </c>
      <c r="C639" s="171" t="s">
        <v>3781</v>
      </c>
      <c r="D639" s="148" t="s">
        <v>52</v>
      </c>
      <c r="E639" s="158">
        <v>13</v>
      </c>
      <c r="F639" s="145">
        <v>29.66</v>
      </c>
      <c r="G639" s="48">
        <f t="shared" si="233"/>
        <v>37.58</v>
      </c>
      <c r="H639" s="48">
        <f t="shared" si="234"/>
        <v>488.54</v>
      </c>
    </row>
    <row r="640" spans="1:8" s="57" customFormat="1" ht="31.5" outlineLevel="2" x14ac:dyDescent="0.25">
      <c r="A640" s="53" t="s">
        <v>3350</v>
      </c>
      <c r="B640" s="234">
        <v>89629</v>
      </c>
      <c r="C640" s="170" t="s">
        <v>443</v>
      </c>
      <c r="D640" s="150" t="s">
        <v>52</v>
      </c>
      <c r="E640" s="158">
        <v>2</v>
      </c>
      <c r="F640" s="145">
        <v>52.45</v>
      </c>
      <c r="G640" s="48">
        <f t="shared" si="233"/>
        <v>66.459999999999994</v>
      </c>
      <c r="H640" s="48">
        <f t="shared" si="234"/>
        <v>132.91999999999999</v>
      </c>
    </row>
    <row r="641" spans="1:8" s="57" customFormat="1" ht="31.5" outlineLevel="2" x14ac:dyDescent="0.25">
      <c r="A641" s="53" t="s">
        <v>3351</v>
      </c>
      <c r="B641" s="234">
        <v>89631</v>
      </c>
      <c r="C641" s="171" t="s">
        <v>653</v>
      </c>
      <c r="D641" s="150" t="s">
        <v>52</v>
      </c>
      <c r="E641" s="158">
        <v>2</v>
      </c>
      <c r="F641" s="145">
        <v>77</v>
      </c>
      <c r="G641" s="48">
        <f t="shared" si="233"/>
        <v>97.58</v>
      </c>
      <c r="H641" s="48">
        <f t="shared" si="234"/>
        <v>195.16</v>
      </c>
    </row>
    <row r="642" spans="1:8" s="57" customFormat="1" ht="47.25" outlineLevel="2" x14ac:dyDescent="0.25">
      <c r="A642" s="53" t="s">
        <v>3352</v>
      </c>
      <c r="B642" s="234">
        <v>89619</v>
      </c>
      <c r="C642" s="170" t="s">
        <v>3782</v>
      </c>
      <c r="D642" s="150" t="s">
        <v>52</v>
      </c>
      <c r="E642" s="158">
        <v>1</v>
      </c>
      <c r="F642" s="145">
        <v>5.9</v>
      </c>
      <c r="G642" s="48">
        <f t="shared" si="233"/>
        <v>7.47</v>
      </c>
      <c r="H642" s="48">
        <f t="shared" si="234"/>
        <v>7.47</v>
      </c>
    </row>
    <row r="643" spans="1:8" s="57" customFormat="1" outlineLevel="2" x14ac:dyDescent="0.25">
      <c r="A643" s="53" t="s">
        <v>3353</v>
      </c>
      <c r="B643" s="234" t="s">
        <v>3783</v>
      </c>
      <c r="C643" s="171" t="s">
        <v>3784</v>
      </c>
      <c r="D643" s="150" t="s">
        <v>52</v>
      </c>
      <c r="E643" s="158">
        <v>1</v>
      </c>
      <c r="F643" s="145">
        <v>18.34</v>
      </c>
      <c r="G643" s="48">
        <f t="shared" si="233"/>
        <v>23.24</v>
      </c>
      <c r="H643" s="48">
        <f t="shared" si="234"/>
        <v>23.24</v>
      </c>
    </row>
    <row r="644" spans="1:8" s="57" customFormat="1" ht="47.25" outlineLevel="2" x14ac:dyDescent="0.25">
      <c r="A644" s="53" t="s">
        <v>3354</v>
      </c>
      <c r="B644" s="234">
        <v>89627</v>
      </c>
      <c r="C644" s="171" t="s">
        <v>444</v>
      </c>
      <c r="D644" s="150" t="s">
        <v>52</v>
      </c>
      <c r="E644" s="158">
        <v>9</v>
      </c>
      <c r="F644" s="145">
        <v>14.1</v>
      </c>
      <c r="G644" s="48">
        <f t="shared" si="233"/>
        <v>17.86</v>
      </c>
      <c r="H644" s="48">
        <f t="shared" si="234"/>
        <v>160.74</v>
      </c>
    </row>
    <row r="645" spans="1:8" s="57" customFormat="1" ht="47.25" outlineLevel="2" x14ac:dyDescent="0.25">
      <c r="A645" s="53" t="s">
        <v>3355</v>
      </c>
      <c r="B645" s="135" t="s">
        <v>3785</v>
      </c>
      <c r="C645" s="171" t="s">
        <v>3786</v>
      </c>
      <c r="D645" s="150" t="s">
        <v>52</v>
      </c>
      <c r="E645" s="158">
        <v>5</v>
      </c>
      <c r="F645" s="145">
        <v>41.49</v>
      </c>
      <c r="G645" s="48">
        <f t="shared" si="233"/>
        <v>52.58</v>
      </c>
      <c r="H645" s="48">
        <f t="shared" si="234"/>
        <v>262.89999999999998</v>
      </c>
    </row>
    <row r="646" spans="1:8" ht="47.25" outlineLevel="1" x14ac:dyDescent="0.25">
      <c r="A646" s="53" t="s">
        <v>3356</v>
      </c>
      <c r="B646" s="234">
        <v>89632</v>
      </c>
      <c r="C646" s="170" t="s">
        <v>445</v>
      </c>
      <c r="D646" s="150" t="s">
        <v>52</v>
      </c>
      <c r="E646" s="158">
        <v>10</v>
      </c>
      <c r="F646" s="145">
        <v>66.08</v>
      </c>
      <c r="G646" s="48">
        <f t="shared" si="233"/>
        <v>83.74</v>
      </c>
      <c r="H646" s="48">
        <f t="shared" si="234"/>
        <v>837.4</v>
      </c>
    </row>
    <row r="647" spans="1:8" outlineLevel="1" x14ac:dyDescent="0.25">
      <c r="A647" s="53" t="s">
        <v>3357</v>
      </c>
      <c r="B647" s="234" t="s">
        <v>353</v>
      </c>
      <c r="C647" s="170" t="s">
        <v>656</v>
      </c>
      <c r="D647" s="150" t="s">
        <v>52</v>
      </c>
      <c r="E647" s="158">
        <v>3</v>
      </c>
      <c r="F647" s="145">
        <v>58.89</v>
      </c>
      <c r="G647" s="48">
        <f t="shared" si="233"/>
        <v>74.63</v>
      </c>
      <c r="H647" s="48">
        <f t="shared" si="234"/>
        <v>223.89</v>
      </c>
    </row>
    <row r="648" spans="1:8" s="57" customFormat="1" ht="78.75" outlineLevel="2" x14ac:dyDescent="0.25">
      <c r="A648" s="53" t="s">
        <v>3358</v>
      </c>
      <c r="B648" s="234">
        <v>94672</v>
      </c>
      <c r="C648" s="170" t="s">
        <v>3787</v>
      </c>
      <c r="D648" s="150" t="s">
        <v>52</v>
      </c>
      <c r="E648" s="158">
        <v>19</v>
      </c>
      <c r="F648" s="145">
        <v>7.08</v>
      </c>
      <c r="G648" s="48">
        <f t="shared" si="233"/>
        <v>8.9700000000000006</v>
      </c>
      <c r="H648" s="48">
        <f t="shared" si="234"/>
        <v>170.43</v>
      </c>
    </row>
    <row r="649" spans="1:8" s="57" customFormat="1" ht="47.25" outlineLevel="2" x14ac:dyDescent="0.25">
      <c r="A649" s="53" t="s">
        <v>3359</v>
      </c>
      <c r="B649" s="234" t="s">
        <v>3788</v>
      </c>
      <c r="C649" s="170" t="s">
        <v>1081</v>
      </c>
      <c r="D649" s="150" t="s">
        <v>52</v>
      </c>
      <c r="E649" s="158">
        <v>3</v>
      </c>
      <c r="F649" s="145">
        <v>11.48</v>
      </c>
      <c r="G649" s="48">
        <f t="shared" si="233"/>
        <v>14.54</v>
      </c>
      <c r="H649" s="48">
        <f t="shared" si="234"/>
        <v>43.62</v>
      </c>
    </row>
    <row r="650" spans="1:8" s="57" customFormat="1" ht="47.25" outlineLevel="2" x14ac:dyDescent="0.25">
      <c r="A650" s="53" t="s">
        <v>3360</v>
      </c>
      <c r="B650" s="234">
        <v>90373</v>
      </c>
      <c r="C650" s="170" t="s">
        <v>652</v>
      </c>
      <c r="D650" s="150" t="s">
        <v>52</v>
      </c>
      <c r="E650" s="158">
        <v>17</v>
      </c>
      <c r="F650" s="145">
        <v>10.02</v>
      </c>
      <c r="G650" s="48">
        <f t="shared" si="233"/>
        <v>12.69</v>
      </c>
      <c r="H650" s="48">
        <f t="shared" si="234"/>
        <v>215.73</v>
      </c>
    </row>
    <row r="651" spans="1:8" s="57" customFormat="1" ht="63" outlineLevel="2" x14ac:dyDescent="0.25">
      <c r="A651" s="53" t="s">
        <v>3361</v>
      </c>
      <c r="B651" s="234">
        <v>89441</v>
      </c>
      <c r="C651" s="170" t="s">
        <v>654</v>
      </c>
      <c r="D651" s="150" t="s">
        <v>52</v>
      </c>
      <c r="E651" s="158">
        <v>25</v>
      </c>
      <c r="F651" s="145">
        <v>12.37</v>
      </c>
      <c r="G651" s="48">
        <f t="shared" si="233"/>
        <v>15.67</v>
      </c>
      <c r="H651" s="48">
        <f t="shared" si="234"/>
        <v>391.75</v>
      </c>
    </row>
    <row r="652" spans="1:8" s="57" customFormat="1" ht="63" outlineLevel="2" x14ac:dyDescent="0.25">
      <c r="A652" s="53" t="s">
        <v>3362</v>
      </c>
      <c r="B652" s="234">
        <v>90374</v>
      </c>
      <c r="C652" s="170" t="s">
        <v>655</v>
      </c>
      <c r="D652" s="150" t="s">
        <v>52</v>
      </c>
      <c r="E652" s="158">
        <v>4</v>
      </c>
      <c r="F652" s="145">
        <v>15.19</v>
      </c>
      <c r="G652" s="48">
        <f t="shared" si="233"/>
        <v>19.25</v>
      </c>
      <c r="H652" s="48">
        <f t="shared" si="234"/>
        <v>77</v>
      </c>
    </row>
    <row r="653" spans="1:8" outlineLevel="2" x14ac:dyDescent="0.25">
      <c r="A653" s="92"/>
      <c r="B653" s="62"/>
      <c r="C653" s="63" t="s">
        <v>13</v>
      </c>
      <c r="D653" s="62"/>
      <c r="E653" s="64"/>
      <c r="F653" s="64"/>
      <c r="G653" s="65"/>
      <c r="H653" s="65">
        <f>SUM(H600:H652)</f>
        <v>27702.300000000003</v>
      </c>
    </row>
    <row r="654" spans="1:8" s="57" customFormat="1" outlineLevel="2" x14ac:dyDescent="0.25">
      <c r="A654" s="119" t="s">
        <v>87</v>
      </c>
      <c r="B654" s="119"/>
      <c r="C654" s="237" t="s">
        <v>162</v>
      </c>
      <c r="D654" s="61"/>
      <c r="E654" s="55"/>
      <c r="F654" s="56"/>
      <c r="G654" s="56"/>
      <c r="H654" s="56"/>
    </row>
    <row r="655" spans="1:8" s="57" customFormat="1" ht="47.25" outlineLevel="2" x14ac:dyDescent="0.25">
      <c r="A655" s="53" t="s">
        <v>3372</v>
      </c>
      <c r="B655" s="234" t="s">
        <v>657</v>
      </c>
      <c r="C655" s="170" t="s">
        <v>658</v>
      </c>
      <c r="D655" s="150" t="s">
        <v>52</v>
      </c>
      <c r="E655" s="158">
        <v>1</v>
      </c>
      <c r="F655" s="145">
        <v>57950.57</v>
      </c>
      <c r="G655" s="48">
        <f t="shared" si="229"/>
        <v>73440.75</v>
      </c>
      <c r="H655" s="48">
        <f t="shared" si="230"/>
        <v>73440.75</v>
      </c>
    </row>
    <row r="656" spans="1:8" s="57" customFormat="1" outlineLevel="2" x14ac:dyDescent="0.25">
      <c r="A656" s="53" t="s">
        <v>3373</v>
      </c>
      <c r="B656" s="234">
        <v>83486</v>
      </c>
      <c r="C656" s="170" t="s">
        <v>3367</v>
      </c>
      <c r="D656" s="150" t="s">
        <v>52</v>
      </c>
      <c r="E656" s="158">
        <v>4</v>
      </c>
      <c r="F656" s="145">
        <v>974.32</v>
      </c>
      <c r="G656" s="48">
        <f t="shared" si="229"/>
        <v>1234.75</v>
      </c>
      <c r="H656" s="48">
        <f t="shared" si="230"/>
        <v>4939</v>
      </c>
    </row>
    <row r="657" spans="1:8" s="57" customFormat="1" ht="31.5" outlineLevel="2" x14ac:dyDescent="0.25">
      <c r="A657" s="53" t="s">
        <v>3374</v>
      </c>
      <c r="B657" s="234" t="s">
        <v>3368</v>
      </c>
      <c r="C657" s="170" t="s">
        <v>3369</v>
      </c>
      <c r="D657" s="150" t="s">
        <v>52</v>
      </c>
      <c r="E657" s="158">
        <v>2</v>
      </c>
      <c r="F657" s="145">
        <v>12671.25</v>
      </c>
      <c r="G657" s="48">
        <f t="shared" si="229"/>
        <v>16058.27</v>
      </c>
      <c r="H657" s="48">
        <f t="shared" si="230"/>
        <v>32116.54</v>
      </c>
    </row>
    <row r="658" spans="1:8" s="57" customFormat="1" ht="31.5" outlineLevel="2" x14ac:dyDescent="0.25">
      <c r="A658" s="53" t="s">
        <v>3375</v>
      </c>
      <c r="B658" s="234">
        <v>88547</v>
      </c>
      <c r="C658" s="170" t="s">
        <v>663</v>
      </c>
      <c r="D658" s="150" t="s">
        <v>52</v>
      </c>
      <c r="E658" s="158">
        <v>3</v>
      </c>
      <c r="F658" s="145">
        <v>58.29</v>
      </c>
      <c r="G658" s="48">
        <f t="shared" si="229"/>
        <v>73.87</v>
      </c>
      <c r="H658" s="48">
        <f t="shared" si="230"/>
        <v>221.61</v>
      </c>
    </row>
    <row r="659" spans="1:8" s="57" customFormat="1" ht="31.5" outlineLevel="2" x14ac:dyDescent="0.25">
      <c r="A659" s="53" t="s">
        <v>3376</v>
      </c>
      <c r="B659" s="234">
        <v>94796</v>
      </c>
      <c r="C659" s="170" t="s">
        <v>666</v>
      </c>
      <c r="D659" s="150" t="s">
        <v>52</v>
      </c>
      <c r="E659" s="158">
        <v>3</v>
      </c>
      <c r="F659" s="145">
        <v>47.82</v>
      </c>
      <c r="G659" s="48">
        <f t="shared" si="229"/>
        <v>60.6</v>
      </c>
      <c r="H659" s="48">
        <f t="shared" si="230"/>
        <v>181.8</v>
      </c>
    </row>
    <row r="660" spans="1:8" outlineLevel="2" x14ac:dyDescent="0.25">
      <c r="A660" s="92"/>
      <c r="B660" s="62"/>
      <c r="C660" s="63" t="s">
        <v>13</v>
      </c>
      <c r="D660" s="62"/>
      <c r="E660" s="64"/>
      <c r="F660" s="64"/>
      <c r="G660" s="65"/>
      <c r="H660" s="65">
        <f>SUM(H655:H659)</f>
        <v>110899.70000000001</v>
      </c>
    </row>
    <row r="661" spans="1:8" s="57" customFormat="1" outlineLevel="2" x14ac:dyDescent="0.25">
      <c r="A661" s="119" t="s">
        <v>157</v>
      </c>
      <c r="B661" s="119"/>
      <c r="C661" s="237" t="s">
        <v>5434</v>
      </c>
      <c r="D661" s="61"/>
      <c r="E661" s="55"/>
      <c r="F661" s="56"/>
      <c r="G661" s="56"/>
      <c r="H661" s="56"/>
    </row>
    <row r="662" spans="1:8" s="57" customFormat="1" ht="63" outlineLevel="2" x14ac:dyDescent="0.25">
      <c r="A662" s="53" t="s">
        <v>3377</v>
      </c>
      <c r="B662" s="234">
        <v>95470</v>
      </c>
      <c r="C662" s="170" t="s">
        <v>3386</v>
      </c>
      <c r="D662" s="150" t="s">
        <v>52</v>
      </c>
      <c r="E662" s="158">
        <v>8</v>
      </c>
      <c r="F662" s="145">
        <v>167.22</v>
      </c>
      <c r="G662" s="48">
        <f t="shared" si="229"/>
        <v>211.91</v>
      </c>
      <c r="H662" s="48">
        <f t="shared" si="230"/>
        <v>1695.28</v>
      </c>
    </row>
    <row r="663" spans="1:8" s="57" customFormat="1" ht="31.5" outlineLevel="2" x14ac:dyDescent="0.25">
      <c r="A663" s="53" t="s">
        <v>3378</v>
      </c>
      <c r="B663" s="234" t="s">
        <v>676</v>
      </c>
      <c r="C663" s="170" t="s">
        <v>677</v>
      </c>
      <c r="D663" s="150" t="s">
        <v>52</v>
      </c>
      <c r="E663" s="158">
        <v>8</v>
      </c>
      <c r="F663" s="145">
        <v>23.38</v>
      </c>
      <c r="G663" s="48">
        <f t="shared" si="229"/>
        <v>29.62</v>
      </c>
      <c r="H663" s="48">
        <f t="shared" si="230"/>
        <v>236.96</v>
      </c>
    </row>
    <row r="664" spans="1:8" ht="31.5" outlineLevel="2" x14ac:dyDescent="0.25">
      <c r="A664" s="53" t="s">
        <v>3379</v>
      </c>
      <c r="B664" s="239">
        <v>40729</v>
      </c>
      <c r="C664" s="171" t="s">
        <v>446</v>
      </c>
      <c r="D664" s="148" t="s">
        <v>52</v>
      </c>
      <c r="E664" s="158">
        <v>8</v>
      </c>
      <c r="F664" s="145">
        <v>136.19999999999999</v>
      </c>
      <c r="G664" s="48">
        <f t="shared" si="229"/>
        <v>172.6</v>
      </c>
      <c r="H664" s="48">
        <f t="shared" si="230"/>
        <v>1380.8</v>
      </c>
    </row>
    <row r="665" spans="1:8" ht="63" outlineLevel="2" x14ac:dyDescent="0.25">
      <c r="A665" s="53" t="s">
        <v>3380</v>
      </c>
      <c r="B665" s="146" t="s">
        <v>672</v>
      </c>
      <c r="C665" s="171" t="s">
        <v>673</v>
      </c>
      <c r="D665" s="148" t="s">
        <v>52</v>
      </c>
      <c r="E665" s="158">
        <v>3</v>
      </c>
      <c r="F665" s="145">
        <v>425.31</v>
      </c>
      <c r="G665" s="48">
        <f t="shared" si="229"/>
        <v>538.99</v>
      </c>
      <c r="H665" s="48">
        <f t="shared" si="230"/>
        <v>1616.97</v>
      </c>
    </row>
    <row r="666" spans="1:8" s="57" customFormat="1" ht="63" outlineLevel="2" x14ac:dyDescent="0.25">
      <c r="A666" s="53" t="s">
        <v>3381</v>
      </c>
      <c r="B666" s="234">
        <v>86937</v>
      </c>
      <c r="C666" s="170" t="s">
        <v>674</v>
      </c>
      <c r="D666" s="150" t="s">
        <v>52</v>
      </c>
      <c r="E666" s="158">
        <v>10</v>
      </c>
      <c r="F666" s="145">
        <v>139.15</v>
      </c>
      <c r="G666" s="48">
        <f t="shared" si="229"/>
        <v>176.34</v>
      </c>
      <c r="H666" s="48">
        <f t="shared" si="230"/>
        <v>1763.4</v>
      </c>
    </row>
    <row r="667" spans="1:8" s="57" customFormat="1" ht="47.25" outlineLevel="2" x14ac:dyDescent="0.25">
      <c r="A667" s="53" t="s">
        <v>3382</v>
      </c>
      <c r="B667" s="234">
        <v>86906</v>
      </c>
      <c r="C667" s="171" t="s">
        <v>675</v>
      </c>
      <c r="D667" s="150" t="s">
        <v>52</v>
      </c>
      <c r="E667" s="158">
        <v>10</v>
      </c>
      <c r="F667" s="145">
        <v>47.13</v>
      </c>
      <c r="G667" s="48">
        <f t="shared" si="229"/>
        <v>59.72</v>
      </c>
      <c r="H667" s="48">
        <f t="shared" si="230"/>
        <v>597.20000000000005</v>
      </c>
    </row>
    <row r="668" spans="1:8" s="57" customFormat="1" ht="31.5" outlineLevel="2" x14ac:dyDescent="0.25">
      <c r="A668" s="53" t="s">
        <v>3383</v>
      </c>
      <c r="B668" s="234">
        <v>95544</v>
      </c>
      <c r="C668" s="170" t="s">
        <v>670</v>
      </c>
      <c r="D668" s="150" t="s">
        <v>52</v>
      </c>
      <c r="E668" s="158">
        <v>8</v>
      </c>
      <c r="F668" s="145">
        <v>34.950000000000003</v>
      </c>
      <c r="G668" s="48">
        <f t="shared" si="229"/>
        <v>44.29</v>
      </c>
      <c r="H668" s="48">
        <f t="shared" si="230"/>
        <v>354.32</v>
      </c>
    </row>
    <row r="669" spans="1:8" ht="31.5" outlineLevel="2" x14ac:dyDescent="0.25">
      <c r="A669" s="53" t="s">
        <v>3384</v>
      </c>
      <c r="B669" s="234" t="s">
        <v>344</v>
      </c>
      <c r="C669" s="171" t="s">
        <v>345</v>
      </c>
      <c r="D669" s="150" t="s">
        <v>52</v>
      </c>
      <c r="E669" s="158">
        <v>2</v>
      </c>
      <c r="F669" s="145">
        <v>41.95</v>
      </c>
      <c r="G669" s="48">
        <f t="shared" si="229"/>
        <v>53.16</v>
      </c>
      <c r="H669" s="48">
        <f t="shared" si="230"/>
        <v>106.32</v>
      </c>
    </row>
    <row r="670" spans="1:8" ht="47.25" outlineLevel="2" x14ac:dyDescent="0.25">
      <c r="A670" s="53" t="s">
        <v>3385</v>
      </c>
      <c r="B670" s="234">
        <v>95547</v>
      </c>
      <c r="C670" s="171" t="s">
        <v>671</v>
      </c>
      <c r="D670" s="150" t="s">
        <v>52</v>
      </c>
      <c r="E670" s="158">
        <v>2</v>
      </c>
      <c r="F670" s="145">
        <v>36.75</v>
      </c>
      <c r="G670" s="48">
        <f t="shared" si="229"/>
        <v>46.57</v>
      </c>
      <c r="H670" s="48">
        <f t="shared" si="230"/>
        <v>93.14</v>
      </c>
    </row>
    <row r="671" spans="1:8" outlineLevel="2" x14ac:dyDescent="0.25">
      <c r="A671" s="62"/>
      <c r="B671" s="154"/>
      <c r="C671" s="172" t="s">
        <v>13</v>
      </c>
      <c r="D671" s="154"/>
      <c r="E671" s="156"/>
      <c r="F671" s="145"/>
      <c r="G671" s="157"/>
      <c r="H671" s="157">
        <f>SUM(H662:H670)</f>
        <v>7844.3899999999994</v>
      </c>
    </row>
    <row r="672" spans="1:8" s="57" customFormat="1" outlineLevel="2" x14ac:dyDescent="0.25">
      <c r="A672" s="119" t="s">
        <v>158</v>
      </c>
      <c r="B672" s="135"/>
      <c r="C672" s="133" t="s">
        <v>3387</v>
      </c>
      <c r="D672" s="116"/>
      <c r="E672" s="116"/>
      <c r="F672" s="166"/>
      <c r="G672" s="145"/>
      <c r="H672" s="145"/>
    </row>
    <row r="673" spans="1:8" s="57" customFormat="1" ht="63" outlineLevel="2" x14ac:dyDescent="0.25">
      <c r="A673" s="53" t="s">
        <v>3388</v>
      </c>
      <c r="B673" s="234">
        <v>95470</v>
      </c>
      <c r="C673" s="143" t="s">
        <v>3386</v>
      </c>
      <c r="D673" s="150" t="s">
        <v>52</v>
      </c>
      <c r="E673" s="145">
        <v>4</v>
      </c>
      <c r="F673" s="145">
        <v>167.22</v>
      </c>
      <c r="G673" s="48">
        <f t="shared" ref="G673" si="235">TRUNC(F673*(1+$E$3),2)</f>
        <v>211.91</v>
      </c>
      <c r="H673" s="48">
        <f t="shared" ref="H673" si="236">TRUNC((G673*E673),2)</f>
        <v>847.64</v>
      </c>
    </row>
    <row r="674" spans="1:8" s="57" customFormat="1" ht="31.5" outlineLevel="2" x14ac:dyDescent="0.25">
      <c r="A674" s="53" t="s">
        <v>3389</v>
      </c>
      <c r="B674" s="234" t="s">
        <v>676</v>
      </c>
      <c r="C674" s="143" t="s">
        <v>677</v>
      </c>
      <c r="D674" s="150" t="s">
        <v>52</v>
      </c>
      <c r="E674" s="145">
        <v>4</v>
      </c>
      <c r="F674" s="145">
        <v>23.38</v>
      </c>
      <c r="G674" s="48">
        <f t="shared" ref="G674:G702" si="237">TRUNC(F674*(1+$E$3),2)</f>
        <v>29.62</v>
      </c>
      <c r="H674" s="48">
        <f t="shared" ref="H674:H702" si="238">TRUNC((G674*E674),2)</f>
        <v>118.48</v>
      </c>
    </row>
    <row r="675" spans="1:8" s="57" customFormat="1" ht="31.5" outlineLevel="2" x14ac:dyDescent="0.25">
      <c r="A675" s="53" t="s">
        <v>3390</v>
      </c>
      <c r="B675" s="234">
        <v>40729</v>
      </c>
      <c r="C675" s="143" t="s">
        <v>446</v>
      </c>
      <c r="D675" s="150" t="s">
        <v>52</v>
      </c>
      <c r="E675" s="145">
        <v>4</v>
      </c>
      <c r="F675" s="145">
        <v>136.19999999999999</v>
      </c>
      <c r="G675" s="48">
        <f t="shared" si="237"/>
        <v>172.6</v>
      </c>
      <c r="H675" s="48">
        <f t="shared" si="238"/>
        <v>690.4</v>
      </c>
    </row>
    <row r="676" spans="1:8" s="57" customFormat="1" ht="31.5" outlineLevel="2" x14ac:dyDescent="0.25">
      <c r="A676" s="53" t="s">
        <v>3391</v>
      </c>
      <c r="B676" s="234">
        <v>9535</v>
      </c>
      <c r="C676" s="143" t="s">
        <v>669</v>
      </c>
      <c r="D676" s="150" t="s">
        <v>52</v>
      </c>
      <c r="E676" s="173">
        <v>6</v>
      </c>
      <c r="F676" s="145">
        <v>65.319999999999993</v>
      </c>
      <c r="G676" s="48">
        <f t="shared" si="237"/>
        <v>82.78</v>
      </c>
      <c r="H676" s="48">
        <f t="shared" si="238"/>
        <v>496.68</v>
      </c>
    </row>
    <row r="677" spans="1:8" s="57" customFormat="1" ht="63" outlineLevel="2" x14ac:dyDescent="0.25">
      <c r="A677" s="53" t="s">
        <v>3392</v>
      </c>
      <c r="B677" s="234">
        <v>86937</v>
      </c>
      <c r="C677" s="143" t="s">
        <v>674</v>
      </c>
      <c r="D677" s="150" t="s">
        <v>52</v>
      </c>
      <c r="E677" s="145">
        <v>4</v>
      </c>
      <c r="F677" s="145">
        <v>139.15</v>
      </c>
      <c r="G677" s="48">
        <f t="shared" si="237"/>
        <v>176.34</v>
      </c>
      <c r="H677" s="48">
        <f t="shared" si="238"/>
        <v>705.36</v>
      </c>
    </row>
    <row r="678" spans="1:8" s="57" customFormat="1" ht="47.25" outlineLevel="2" x14ac:dyDescent="0.25">
      <c r="A678" s="53" t="s">
        <v>3393</v>
      </c>
      <c r="B678" s="234">
        <v>86906</v>
      </c>
      <c r="C678" s="143" t="s">
        <v>675</v>
      </c>
      <c r="D678" s="150" t="s">
        <v>52</v>
      </c>
      <c r="E678" s="145">
        <v>4</v>
      </c>
      <c r="F678" s="145">
        <v>47.13</v>
      </c>
      <c r="G678" s="48">
        <f t="shared" si="237"/>
        <v>59.72</v>
      </c>
      <c r="H678" s="48">
        <f t="shared" si="238"/>
        <v>238.88</v>
      </c>
    </row>
    <row r="679" spans="1:8" s="57" customFormat="1" ht="31.5" outlineLevel="2" x14ac:dyDescent="0.25">
      <c r="A679" s="53" t="s">
        <v>3394</v>
      </c>
      <c r="B679" s="234">
        <v>95544</v>
      </c>
      <c r="C679" s="143" t="s">
        <v>670</v>
      </c>
      <c r="D679" s="150" t="s">
        <v>52</v>
      </c>
      <c r="E679" s="145">
        <v>4</v>
      </c>
      <c r="F679" s="145">
        <v>34.950000000000003</v>
      </c>
      <c r="G679" s="48">
        <f t="shared" si="237"/>
        <v>44.29</v>
      </c>
      <c r="H679" s="48">
        <f t="shared" si="238"/>
        <v>177.16</v>
      </c>
    </row>
    <row r="680" spans="1:8" s="57" customFormat="1" ht="31.5" outlineLevel="2" x14ac:dyDescent="0.25">
      <c r="A680" s="53" t="s">
        <v>3395</v>
      </c>
      <c r="B680" s="135" t="s">
        <v>344</v>
      </c>
      <c r="C680" s="143" t="s">
        <v>345</v>
      </c>
      <c r="D680" s="150" t="s">
        <v>52</v>
      </c>
      <c r="E680" s="145">
        <v>2</v>
      </c>
      <c r="F680" s="145">
        <v>41.95</v>
      </c>
      <c r="G680" s="48">
        <f t="shared" si="237"/>
        <v>53.16</v>
      </c>
      <c r="H680" s="48">
        <f t="shared" si="238"/>
        <v>106.32</v>
      </c>
    </row>
    <row r="681" spans="1:8" s="57" customFormat="1" ht="47.25" outlineLevel="2" x14ac:dyDescent="0.25">
      <c r="A681" s="53" t="s">
        <v>3396</v>
      </c>
      <c r="B681" s="234">
        <v>95547</v>
      </c>
      <c r="C681" s="143" t="s">
        <v>671</v>
      </c>
      <c r="D681" s="150" t="s">
        <v>52</v>
      </c>
      <c r="E681" s="145">
        <v>2</v>
      </c>
      <c r="F681" s="145">
        <v>36.75</v>
      </c>
      <c r="G681" s="48">
        <f t="shared" si="237"/>
        <v>46.57</v>
      </c>
      <c r="H681" s="48">
        <f t="shared" si="238"/>
        <v>93.14</v>
      </c>
    </row>
    <row r="682" spans="1:8" outlineLevel="2" x14ac:dyDescent="0.25">
      <c r="A682" s="62"/>
      <c r="B682" s="154"/>
      <c r="C682" s="172" t="s">
        <v>13</v>
      </c>
      <c r="D682" s="154"/>
      <c r="E682" s="156"/>
      <c r="F682" s="145"/>
      <c r="G682" s="157"/>
      <c r="H682" s="157">
        <f>SUM(H673:H681)</f>
        <v>3474.06</v>
      </c>
    </row>
    <row r="683" spans="1:8" s="57" customFormat="1" outlineLevel="2" x14ac:dyDescent="0.25">
      <c r="A683" s="119" t="s">
        <v>450</v>
      </c>
      <c r="B683" s="135"/>
      <c r="C683" s="133" t="s">
        <v>3398</v>
      </c>
      <c r="D683" s="116"/>
      <c r="E683" s="116"/>
      <c r="F683" s="166"/>
      <c r="G683" s="145"/>
      <c r="H683" s="145"/>
    </row>
    <row r="684" spans="1:8" s="57" customFormat="1" ht="78.75" outlineLevel="2" x14ac:dyDescent="0.25">
      <c r="A684" s="53" t="s">
        <v>3397</v>
      </c>
      <c r="B684" s="234">
        <v>86942</v>
      </c>
      <c r="C684" s="143" t="s">
        <v>678</v>
      </c>
      <c r="D684" s="150" t="s">
        <v>52</v>
      </c>
      <c r="E684" s="145">
        <v>2</v>
      </c>
      <c r="F684" s="145">
        <v>174.76</v>
      </c>
      <c r="G684" s="48">
        <f t="shared" si="237"/>
        <v>221.47</v>
      </c>
      <c r="H684" s="48">
        <f t="shared" si="238"/>
        <v>442.94</v>
      </c>
    </row>
    <row r="685" spans="1:8" s="57" customFormat="1" ht="63" outlineLevel="2" x14ac:dyDescent="0.25">
      <c r="A685" s="53" t="s">
        <v>3402</v>
      </c>
      <c r="B685" s="234">
        <v>86931</v>
      </c>
      <c r="C685" s="143" t="s">
        <v>3399</v>
      </c>
      <c r="D685" s="150" t="s">
        <v>52</v>
      </c>
      <c r="E685" s="173">
        <v>2</v>
      </c>
      <c r="F685" s="145">
        <v>356.9</v>
      </c>
      <c r="G685" s="48">
        <f t="shared" si="237"/>
        <v>452.29</v>
      </c>
      <c r="H685" s="48">
        <f t="shared" si="238"/>
        <v>904.58</v>
      </c>
    </row>
    <row r="686" spans="1:8" s="57" customFormat="1" ht="31.5" outlineLevel="2" x14ac:dyDescent="0.25">
      <c r="A686" s="53" t="s">
        <v>3403</v>
      </c>
      <c r="B686" s="234" t="s">
        <v>676</v>
      </c>
      <c r="C686" s="143" t="s">
        <v>677</v>
      </c>
      <c r="D686" s="150" t="s">
        <v>52</v>
      </c>
      <c r="E686" s="145">
        <v>2</v>
      </c>
      <c r="F686" s="145">
        <v>23.38</v>
      </c>
      <c r="G686" s="48">
        <f t="shared" si="237"/>
        <v>29.62</v>
      </c>
      <c r="H686" s="48">
        <f t="shared" si="238"/>
        <v>59.24</v>
      </c>
    </row>
    <row r="687" spans="1:8" s="57" customFormat="1" ht="31.5" outlineLevel="2" x14ac:dyDescent="0.25">
      <c r="A687" s="53" t="s">
        <v>3404</v>
      </c>
      <c r="B687" s="234">
        <v>95544</v>
      </c>
      <c r="C687" s="143" t="s">
        <v>670</v>
      </c>
      <c r="D687" s="150" t="s">
        <v>52</v>
      </c>
      <c r="E687" s="145">
        <v>2</v>
      </c>
      <c r="F687" s="145">
        <v>34.950000000000003</v>
      </c>
      <c r="G687" s="48">
        <f t="shared" si="237"/>
        <v>44.29</v>
      </c>
      <c r="H687" s="48">
        <f t="shared" si="238"/>
        <v>88.58</v>
      </c>
    </row>
    <row r="688" spans="1:8" s="57" customFormat="1" ht="31.5" outlineLevel="2" x14ac:dyDescent="0.25">
      <c r="A688" s="53" t="s">
        <v>3405</v>
      </c>
      <c r="B688" s="234" t="s">
        <v>344</v>
      </c>
      <c r="C688" s="143" t="s">
        <v>345</v>
      </c>
      <c r="D688" s="150" t="s">
        <v>52</v>
      </c>
      <c r="E688" s="145">
        <v>2</v>
      </c>
      <c r="F688" s="145">
        <v>41.95</v>
      </c>
      <c r="G688" s="48">
        <f t="shared" si="237"/>
        <v>53.16</v>
      </c>
      <c r="H688" s="48">
        <f t="shared" si="238"/>
        <v>106.32</v>
      </c>
    </row>
    <row r="689" spans="1:8" s="57" customFormat="1" ht="47.25" outlineLevel="2" x14ac:dyDescent="0.25">
      <c r="A689" s="53" t="s">
        <v>3406</v>
      </c>
      <c r="B689" s="234">
        <v>95547</v>
      </c>
      <c r="C689" s="143" t="s">
        <v>671</v>
      </c>
      <c r="D689" s="150" t="s">
        <v>52</v>
      </c>
      <c r="E689" s="145">
        <v>2</v>
      </c>
      <c r="F689" s="145">
        <v>36.75</v>
      </c>
      <c r="G689" s="48">
        <f t="shared" si="237"/>
        <v>46.57</v>
      </c>
      <c r="H689" s="48">
        <f t="shared" si="238"/>
        <v>93.14</v>
      </c>
    </row>
    <row r="690" spans="1:8" s="57" customFormat="1" ht="31.5" outlineLevel="2" x14ac:dyDescent="0.25">
      <c r="A690" s="53" t="s">
        <v>3407</v>
      </c>
      <c r="B690" s="234" t="s">
        <v>3400</v>
      </c>
      <c r="C690" s="143" t="s">
        <v>3401</v>
      </c>
      <c r="D690" s="150" t="s">
        <v>52</v>
      </c>
      <c r="E690" s="145">
        <v>1</v>
      </c>
      <c r="F690" s="145">
        <v>754.52</v>
      </c>
      <c r="G690" s="48">
        <f t="shared" si="237"/>
        <v>956.2</v>
      </c>
      <c r="H690" s="48">
        <f t="shared" si="238"/>
        <v>956.2</v>
      </c>
    </row>
    <row r="691" spans="1:8" outlineLevel="2" x14ac:dyDescent="0.25">
      <c r="A691" s="62"/>
      <c r="B691" s="154"/>
      <c r="C691" s="172" t="s">
        <v>13</v>
      </c>
      <c r="D691" s="154"/>
      <c r="E691" s="156"/>
      <c r="F691" s="145"/>
      <c r="G691" s="157"/>
      <c r="H691" s="157">
        <f>SUM(H684:H690)</f>
        <v>2651</v>
      </c>
    </row>
    <row r="692" spans="1:8" s="57" customFormat="1" outlineLevel="2" x14ac:dyDescent="0.25">
      <c r="A692" s="119" t="s">
        <v>159</v>
      </c>
      <c r="B692" s="135"/>
      <c r="C692" s="133" t="s">
        <v>3408</v>
      </c>
      <c r="D692" s="116"/>
      <c r="E692" s="116"/>
      <c r="F692" s="166"/>
      <c r="G692" s="145"/>
      <c r="H692" s="145"/>
    </row>
    <row r="693" spans="1:8" s="57" customFormat="1" ht="63" outlineLevel="2" x14ac:dyDescent="0.25">
      <c r="A693" s="53" t="s">
        <v>3413</v>
      </c>
      <c r="B693" s="135" t="s">
        <v>3409</v>
      </c>
      <c r="C693" s="143" t="s">
        <v>3410</v>
      </c>
      <c r="D693" s="150" t="s">
        <v>52</v>
      </c>
      <c r="E693" s="145">
        <v>4</v>
      </c>
      <c r="F693" s="145">
        <v>171.53</v>
      </c>
      <c r="G693" s="48">
        <f t="shared" si="237"/>
        <v>217.37</v>
      </c>
      <c r="H693" s="48">
        <f t="shared" si="238"/>
        <v>869.48</v>
      </c>
    </row>
    <row r="694" spans="1:8" s="57" customFormat="1" ht="47.25" outlineLevel="2" x14ac:dyDescent="0.25">
      <c r="A694" s="53" t="s">
        <v>3414</v>
      </c>
      <c r="B694" s="234" t="s">
        <v>3411</v>
      </c>
      <c r="C694" s="143" t="s">
        <v>3412</v>
      </c>
      <c r="D694" s="150" t="s">
        <v>52</v>
      </c>
      <c r="E694" s="173">
        <v>2</v>
      </c>
      <c r="F694" s="145">
        <v>1647.69</v>
      </c>
      <c r="G694" s="48">
        <f t="shared" si="237"/>
        <v>2088.11</v>
      </c>
      <c r="H694" s="48">
        <f t="shared" si="238"/>
        <v>4176.22</v>
      </c>
    </row>
    <row r="695" spans="1:8" outlineLevel="2" x14ac:dyDescent="0.25">
      <c r="A695" s="62"/>
      <c r="B695" s="154"/>
      <c r="C695" s="172" t="s">
        <v>13</v>
      </c>
      <c r="D695" s="154"/>
      <c r="E695" s="156"/>
      <c r="F695" s="145"/>
      <c r="G695" s="157"/>
      <c r="H695" s="157">
        <f>SUM(H693:H694)</f>
        <v>5045.7000000000007</v>
      </c>
    </row>
    <row r="696" spans="1:8" s="57" customFormat="1" ht="31.5" outlineLevel="2" x14ac:dyDescent="0.25">
      <c r="A696" s="119" t="s">
        <v>454</v>
      </c>
      <c r="B696" s="135"/>
      <c r="C696" s="133" t="s">
        <v>3415</v>
      </c>
      <c r="D696" s="116"/>
      <c r="E696" s="116"/>
      <c r="F696" s="166"/>
      <c r="G696" s="145"/>
      <c r="H696" s="145"/>
    </row>
    <row r="697" spans="1:8" s="57" customFormat="1" ht="141.75" outlineLevel="2" x14ac:dyDescent="0.25">
      <c r="A697" s="53" t="s">
        <v>3420</v>
      </c>
      <c r="B697" s="234" t="s">
        <v>692</v>
      </c>
      <c r="C697" s="143" t="s">
        <v>693</v>
      </c>
      <c r="D697" s="150" t="s">
        <v>52</v>
      </c>
      <c r="E697" s="145">
        <v>2</v>
      </c>
      <c r="F697" s="145">
        <v>4602.6099999999997</v>
      </c>
      <c r="G697" s="48">
        <f t="shared" si="237"/>
        <v>5832.88</v>
      </c>
      <c r="H697" s="48">
        <f t="shared" si="238"/>
        <v>11665.76</v>
      </c>
    </row>
    <row r="698" spans="1:8" s="57" customFormat="1" ht="141.75" outlineLevel="2" x14ac:dyDescent="0.25">
      <c r="A698" s="53" t="s">
        <v>3421</v>
      </c>
      <c r="B698" s="234" t="s">
        <v>3416</v>
      </c>
      <c r="C698" s="143" t="s">
        <v>3417</v>
      </c>
      <c r="D698" s="150" t="s">
        <v>52</v>
      </c>
      <c r="E698" s="145">
        <v>1</v>
      </c>
      <c r="F698" s="145">
        <v>2821.6</v>
      </c>
      <c r="G698" s="48">
        <f t="shared" si="237"/>
        <v>3575.81</v>
      </c>
      <c r="H698" s="48">
        <f t="shared" si="238"/>
        <v>3575.81</v>
      </c>
    </row>
    <row r="699" spans="1:8" ht="141.75" outlineLevel="2" x14ac:dyDescent="0.25">
      <c r="A699" s="53" t="s">
        <v>3422</v>
      </c>
      <c r="B699" s="234" t="s">
        <v>3418</v>
      </c>
      <c r="C699" s="143" t="s">
        <v>3419</v>
      </c>
      <c r="D699" s="150" t="s">
        <v>52</v>
      </c>
      <c r="E699" s="145">
        <v>1</v>
      </c>
      <c r="F699" s="145">
        <v>4321.6000000000004</v>
      </c>
      <c r="G699" s="48">
        <f t="shared" si="237"/>
        <v>5476.76</v>
      </c>
      <c r="H699" s="48">
        <f t="shared" si="238"/>
        <v>5476.76</v>
      </c>
    </row>
    <row r="700" spans="1:8" s="57" customFormat="1" outlineLevel="2" x14ac:dyDescent="0.25">
      <c r="A700" s="53" t="s">
        <v>3423</v>
      </c>
      <c r="B700" s="234" t="s">
        <v>695</v>
      </c>
      <c r="C700" s="143" t="s">
        <v>696</v>
      </c>
      <c r="D700" s="150" t="s">
        <v>52</v>
      </c>
      <c r="E700" s="173">
        <v>13</v>
      </c>
      <c r="F700" s="145">
        <v>161.41</v>
      </c>
      <c r="G700" s="48">
        <f t="shared" si="237"/>
        <v>204.55</v>
      </c>
      <c r="H700" s="48">
        <f t="shared" si="238"/>
        <v>2659.15</v>
      </c>
    </row>
    <row r="701" spans="1:8" ht="78.75" outlineLevel="2" x14ac:dyDescent="0.25">
      <c r="A701" s="53" t="s">
        <v>3424</v>
      </c>
      <c r="B701" s="234">
        <v>86942</v>
      </c>
      <c r="C701" s="143" t="s">
        <v>678</v>
      </c>
      <c r="D701" s="150" t="s">
        <v>52</v>
      </c>
      <c r="E701" s="145">
        <v>1</v>
      </c>
      <c r="F701" s="145">
        <v>174.76</v>
      </c>
      <c r="G701" s="48">
        <f t="shared" si="237"/>
        <v>221.47</v>
      </c>
      <c r="H701" s="48">
        <f t="shared" si="238"/>
        <v>221.47</v>
      </c>
    </row>
    <row r="702" spans="1:8" ht="47.25" outlineLevel="2" x14ac:dyDescent="0.25">
      <c r="A702" s="53" t="s">
        <v>3425</v>
      </c>
      <c r="B702" s="234" t="s">
        <v>354</v>
      </c>
      <c r="C702" s="143" t="s">
        <v>694</v>
      </c>
      <c r="D702" s="150" t="s">
        <v>52</v>
      </c>
      <c r="E702" s="145">
        <v>1</v>
      </c>
      <c r="F702" s="145">
        <v>388.08</v>
      </c>
      <c r="G702" s="48">
        <f t="shared" si="237"/>
        <v>491.81</v>
      </c>
      <c r="H702" s="48">
        <f t="shared" si="238"/>
        <v>491.81</v>
      </c>
    </row>
    <row r="703" spans="1:8" outlineLevel="2" x14ac:dyDescent="0.25">
      <c r="A703" s="62"/>
      <c r="B703" s="62"/>
      <c r="C703" s="90" t="s">
        <v>13</v>
      </c>
      <c r="D703" s="62"/>
      <c r="E703" s="64"/>
      <c r="F703" s="64"/>
      <c r="G703" s="65"/>
      <c r="H703" s="65">
        <f>SUM(H697:H702)</f>
        <v>24090.760000000006</v>
      </c>
    </row>
    <row r="704" spans="1:8" outlineLevel="1" x14ac:dyDescent="0.25">
      <c r="A704" s="119" t="s">
        <v>457</v>
      </c>
      <c r="B704" s="53"/>
      <c r="C704" s="130" t="s">
        <v>3426</v>
      </c>
      <c r="D704" s="89"/>
      <c r="E704" s="89"/>
      <c r="F704" s="89"/>
      <c r="G704" s="56"/>
      <c r="H704" s="56"/>
    </row>
    <row r="705" spans="1:8" ht="78.75" outlineLevel="1" x14ac:dyDescent="0.25">
      <c r="A705" s="53" t="s">
        <v>3427</v>
      </c>
      <c r="B705" s="234">
        <v>86942</v>
      </c>
      <c r="C705" s="143" t="s">
        <v>678</v>
      </c>
      <c r="D705" s="150" t="s">
        <v>52</v>
      </c>
      <c r="E705" s="173">
        <v>2</v>
      </c>
      <c r="F705" s="145">
        <v>174.76</v>
      </c>
      <c r="G705" s="48">
        <f t="shared" ref="G705" si="239">TRUNC(F705*(1+$E$3),2)</f>
        <v>221.47</v>
      </c>
      <c r="H705" s="48">
        <f t="shared" ref="H705" si="240">TRUNC((G705*E705),2)</f>
        <v>442.94</v>
      </c>
    </row>
    <row r="706" spans="1:8" ht="63" outlineLevel="2" x14ac:dyDescent="0.25">
      <c r="A706" s="53" t="s">
        <v>3428</v>
      </c>
      <c r="B706" s="235">
        <v>86931</v>
      </c>
      <c r="C706" s="143" t="s">
        <v>3399</v>
      </c>
      <c r="D706" s="135" t="s">
        <v>52</v>
      </c>
      <c r="E706" s="174">
        <v>2</v>
      </c>
      <c r="F706" s="145">
        <v>356.9</v>
      </c>
      <c r="G706" s="48">
        <f t="shared" ref="G706:G711" si="241">TRUNC(F706*(1+$E$3),2)</f>
        <v>452.29</v>
      </c>
      <c r="H706" s="48">
        <f t="shared" ref="H706:H711" si="242">TRUNC((G706*E706),2)</f>
        <v>904.58</v>
      </c>
    </row>
    <row r="707" spans="1:8" ht="31.5" outlineLevel="1" x14ac:dyDescent="0.25">
      <c r="A707" s="53" t="s">
        <v>3429</v>
      </c>
      <c r="B707" s="240">
        <v>95544</v>
      </c>
      <c r="C707" s="143" t="s">
        <v>670</v>
      </c>
      <c r="D707" s="135" t="s">
        <v>52</v>
      </c>
      <c r="E707" s="174">
        <v>2</v>
      </c>
      <c r="F707" s="145">
        <v>34.950000000000003</v>
      </c>
      <c r="G707" s="48">
        <f t="shared" si="241"/>
        <v>44.29</v>
      </c>
      <c r="H707" s="48">
        <f t="shared" si="242"/>
        <v>88.58</v>
      </c>
    </row>
    <row r="708" spans="1:8" ht="31.5" x14ac:dyDescent="0.25">
      <c r="A708" s="53" t="s">
        <v>3430</v>
      </c>
      <c r="B708" s="235">
        <v>9535</v>
      </c>
      <c r="C708" s="143" t="s">
        <v>669</v>
      </c>
      <c r="D708" s="135" t="s">
        <v>52</v>
      </c>
      <c r="E708" s="174">
        <v>2</v>
      </c>
      <c r="F708" s="145">
        <v>65.319999999999993</v>
      </c>
      <c r="G708" s="48">
        <f t="shared" si="241"/>
        <v>82.78</v>
      </c>
      <c r="H708" s="48">
        <f t="shared" si="242"/>
        <v>165.56</v>
      </c>
    </row>
    <row r="709" spans="1:8" ht="31.5" x14ac:dyDescent="0.25">
      <c r="A709" s="53" t="s">
        <v>3431</v>
      </c>
      <c r="B709" s="135" t="s">
        <v>344</v>
      </c>
      <c r="C709" s="143" t="s">
        <v>345</v>
      </c>
      <c r="D709" s="150" t="s">
        <v>52</v>
      </c>
      <c r="E709" s="173">
        <v>2</v>
      </c>
      <c r="F709" s="145">
        <v>41.95</v>
      </c>
      <c r="G709" s="48">
        <f t="shared" si="241"/>
        <v>53.16</v>
      </c>
      <c r="H709" s="48">
        <f t="shared" si="242"/>
        <v>106.32</v>
      </c>
    </row>
    <row r="710" spans="1:8" ht="47.25" x14ac:dyDescent="0.25">
      <c r="A710" s="53" t="s">
        <v>3432</v>
      </c>
      <c r="B710" s="234">
        <v>95547</v>
      </c>
      <c r="C710" s="143" t="s">
        <v>671</v>
      </c>
      <c r="D710" s="150" t="s">
        <v>52</v>
      </c>
      <c r="E710" s="173">
        <v>2</v>
      </c>
      <c r="F710" s="145">
        <v>36.75</v>
      </c>
      <c r="G710" s="48">
        <f t="shared" si="241"/>
        <v>46.57</v>
      </c>
      <c r="H710" s="48">
        <f t="shared" si="242"/>
        <v>93.14</v>
      </c>
    </row>
    <row r="711" spans="1:8" ht="31.5" x14ac:dyDescent="0.25">
      <c r="A711" s="53" t="s">
        <v>3433</v>
      </c>
      <c r="B711" s="234" t="s">
        <v>676</v>
      </c>
      <c r="C711" s="143" t="s">
        <v>677</v>
      </c>
      <c r="D711" s="150" t="s">
        <v>52</v>
      </c>
      <c r="E711" s="173">
        <v>2</v>
      </c>
      <c r="F711" s="145">
        <v>23.38</v>
      </c>
      <c r="G711" s="48">
        <f t="shared" si="241"/>
        <v>29.62</v>
      </c>
      <c r="H711" s="48">
        <f t="shared" si="242"/>
        <v>59.24</v>
      </c>
    </row>
    <row r="712" spans="1:8" x14ac:dyDescent="0.25">
      <c r="A712" s="62"/>
      <c r="B712" s="62"/>
      <c r="C712" s="90" t="s">
        <v>13</v>
      </c>
      <c r="D712" s="62"/>
      <c r="E712" s="64"/>
      <c r="F712" s="64"/>
      <c r="G712" s="65"/>
      <c r="H712" s="65">
        <f>SUM(H705:H711)</f>
        <v>1860.36</v>
      </c>
    </row>
    <row r="713" spans="1:8" x14ac:dyDescent="0.25">
      <c r="A713" s="119" t="s">
        <v>497</v>
      </c>
      <c r="B713" s="53"/>
      <c r="C713" s="130" t="s">
        <v>110</v>
      </c>
      <c r="D713" s="89"/>
      <c r="E713" s="89"/>
      <c r="F713" s="89"/>
      <c r="G713" s="56"/>
      <c r="H713" s="56"/>
    </row>
    <row r="714" spans="1:8" ht="94.5" x14ac:dyDescent="0.25">
      <c r="A714" s="53" t="s">
        <v>3434</v>
      </c>
      <c r="B714" s="234" t="s">
        <v>680</v>
      </c>
      <c r="C714" s="170" t="s">
        <v>681</v>
      </c>
      <c r="D714" s="175" t="s">
        <v>52</v>
      </c>
      <c r="E714" s="176">
        <v>4</v>
      </c>
      <c r="F714" s="145">
        <v>671.86</v>
      </c>
      <c r="G714" s="48">
        <f t="shared" ref="G714" si="243">TRUNC(F714*(1+$E$3),2)</f>
        <v>851.44</v>
      </c>
      <c r="H714" s="48">
        <f t="shared" ref="H714" si="244">TRUNC((G714*E714),2)</f>
        <v>3405.76</v>
      </c>
    </row>
    <row r="715" spans="1:8" ht="63" x14ac:dyDescent="0.25">
      <c r="A715" s="53" t="s">
        <v>3436</v>
      </c>
      <c r="B715" s="234">
        <v>95472</v>
      </c>
      <c r="C715" s="170" t="s">
        <v>679</v>
      </c>
      <c r="D715" s="162" t="s">
        <v>52</v>
      </c>
      <c r="E715" s="178">
        <v>4</v>
      </c>
      <c r="F715" s="145">
        <v>612.22</v>
      </c>
      <c r="G715" s="48">
        <f t="shared" ref="G715:G723" si="245">TRUNC(F715*(1+$E$3),2)</f>
        <v>775.86</v>
      </c>
      <c r="H715" s="48">
        <f t="shared" ref="H715:H723" si="246">TRUNC((G715*E715),2)</f>
        <v>3103.44</v>
      </c>
    </row>
    <row r="716" spans="1:8" ht="31.5" x14ac:dyDescent="0.25">
      <c r="A716" s="53" t="s">
        <v>3437</v>
      </c>
      <c r="B716" s="234" t="s">
        <v>676</v>
      </c>
      <c r="C716" s="171" t="s">
        <v>677</v>
      </c>
      <c r="D716" s="175" t="s">
        <v>52</v>
      </c>
      <c r="E716" s="178">
        <v>4</v>
      </c>
      <c r="F716" s="145">
        <v>23.38</v>
      </c>
      <c r="G716" s="48">
        <f t="shared" si="245"/>
        <v>29.62</v>
      </c>
      <c r="H716" s="48">
        <f t="shared" si="246"/>
        <v>118.48</v>
      </c>
    </row>
    <row r="717" spans="1:8" ht="47.25" x14ac:dyDescent="0.25">
      <c r="A717" s="53" t="s">
        <v>3438</v>
      </c>
      <c r="B717" s="234" t="s">
        <v>412</v>
      </c>
      <c r="C717" s="179" t="s">
        <v>413</v>
      </c>
      <c r="D717" s="175" t="s">
        <v>52</v>
      </c>
      <c r="E717" s="178">
        <v>4</v>
      </c>
      <c r="F717" s="145">
        <v>566.44000000000005</v>
      </c>
      <c r="G717" s="48">
        <f t="shared" si="245"/>
        <v>717.84</v>
      </c>
      <c r="H717" s="48">
        <f t="shared" si="246"/>
        <v>2871.36</v>
      </c>
    </row>
    <row r="718" spans="1:8" ht="31.5" x14ac:dyDescent="0.25">
      <c r="A718" s="53" t="s">
        <v>3439</v>
      </c>
      <c r="B718" s="234" t="s">
        <v>455</v>
      </c>
      <c r="C718" s="180" t="s">
        <v>456</v>
      </c>
      <c r="D718" s="175" t="s">
        <v>52</v>
      </c>
      <c r="E718" s="176">
        <v>4</v>
      </c>
      <c r="F718" s="145">
        <v>81.16</v>
      </c>
      <c r="G718" s="48">
        <f t="shared" ref="G718:G720" si="247">TRUNC(F718*(1+$E$3),2)</f>
        <v>102.85</v>
      </c>
      <c r="H718" s="48">
        <f t="shared" ref="H718:H720" si="248">TRUNC((G718*E718),2)</f>
        <v>411.4</v>
      </c>
    </row>
    <row r="719" spans="1:8" ht="31.5" x14ac:dyDescent="0.25">
      <c r="A719" s="53" t="s">
        <v>3440</v>
      </c>
      <c r="B719" s="234">
        <v>95544</v>
      </c>
      <c r="C719" s="181" t="s">
        <v>670</v>
      </c>
      <c r="D719" s="175" t="s">
        <v>52</v>
      </c>
      <c r="E719" s="176">
        <v>4</v>
      </c>
      <c r="F719" s="145">
        <v>34.950000000000003</v>
      </c>
      <c r="G719" s="48">
        <f t="shared" si="247"/>
        <v>44.29</v>
      </c>
      <c r="H719" s="48">
        <f t="shared" si="248"/>
        <v>177.16</v>
      </c>
    </row>
    <row r="720" spans="1:8" ht="31.5" x14ac:dyDescent="0.25">
      <c r="A720" s="53" t="s">
        <v>3441</v>
      </c>
      <c r="B720" s="234" t="s">
        <v>344</v>
      </c>
      <c r="C720" s="182" t="s">
        <v>345</v>
      </c>
      <c r="D720" s="177" t="s">
        <v>52</v>
      </c>
      <c r="E720" s="183">
        <v>4</v>
      </c>
      <c r="F720" s="145">
        <v>41.95</v>
      </c>
      <c r="G720" s="48">
        <f t="shared" si="247"/>
        <v>53.16</v>
      </c>
      <c r="H720" s="48">
        <f t="shared" si="248"/>
        <v>212.64</v>
      </c>
    </row>
    <row r="721" spans="1:9" ht="31.5" x14ac:dyDescent="0.25">
      <c r="A721" s="53" t="s">
        <v>3442</v>
      </c>
      <c r="B721" s="234">
        <v>9535</v>
      </c>
      <c r="C721" s="180" t="s">
        <v>669</v>
      </c>
      <c r="D721" s="175" t="s">
        <v>52</v>
      </c>
      <c r="E721" s="176">
        <v>2</v>
      </c>
      <c r="F721" s="145">
        <v>65.319999999999993</v>
      </c>
      <c r="G721" s="48">
        <f t="shared" si="245"/>
        <v>82.78</v>
      </c>
      <c r="H721" s="48">
        <f t="shared" si="246"/>
        <v>165.56</v>
      </c>
      <c r="I721" s="95"/>
    </row>
    <row r="722" spans="1:9" ht="47.25" x14ac:dyDescent="0.25">
      <c r="A722" s="53" t="s">
        <v>3443</v>
      </c>
      <c r="B722" s="234">
        <v>95547</v>
      </c>
      <c r="C722" s="181" t="s">
        <v>671</v>
      </c>
      <c r="D722" s="175" t="s">
        <v>52</v>
      </c>
      <c r="E722" s="176">
        <v>4</v>
      </c>
      <c r="F722" s="145">
        <v>36.75</v>
      </c>
      <c r="G722" s="48">
        <f t="shared" si="245"/>
        <v>46.57</v>
      </c>
      <c r="H722" s="48">
        <f t="shared" si="246"/>
        <v>186.28</v>
      </c>
    </row>
    <row r="723" spans="1:9" ht="47.25" x14ac:dyDescent="0.25">
      <c r="A723" s="53" t="s">
        <v>3444</v>
      </c>
      <c r="B723" s="234">
        <v>89354</v>
      </c>
      <c r="C723" s="182" t="s">
        <v>3435</v>
      </c>
      <c r="D723" s="177" t="s">
        <v>52</v>
      </c>
      <c r="E723" s="183">
        <v>2</v>
      </c>
      <c r="F723" s="145">
        <v>228.65</v>
      </c>
      <c r="G723" s="48">
        <f t="shared" si="245"/>
        <v>289.76</v>
      </c>
      <c r="H723" s="48">
        <f t="shared" si="246"/>
        <v>579.52</v>
      </c>
    </row>
    <row r="724" spans="1:9" x14ac:dyDescent="0.25">
      <c r="A724" s="62"/>
      <c r="B724" s="53"/>
      <c r="C724" s="90" t="s">
        <v>13</v>
      </c>
      <c r="D724" s="62"/>
      <c r="E724" s="64"/>
      <c r="F724" s="64"/>
      <c r="G724" s="65"/>
      <c r="H724" s="65">
        <f>SUM(H714:H723)</f>
        <v>11231.6</v>
      </c>
    </row>
    <row r="725" spans="1:9" x14ac:dyDescent="0.25">
      <c r="A725" s="123" t="s">
        <v>498</v>
      </c>
      <c r="B725" s="123"/>
      <c r="C725" s="131" t="s">
        <v>108</v>
      </c>
      <c r="D725" s="123"/>
      <c r="E725" s="126"/>
      <c r="F725" s="126"/>
      <c r="G725" s="127"/>
      <c r="H725" s="126"/>
    </row>
    <row r="726" spans="1:9" ht="31.5" x14ac:dyDescent="0.25">
      <c r="A726" s="53" t="s">
        <v>3445</v>
      </c>
      <c r="B726" s="234" t="s">
        <v>302</v>
      </c>
      <c r="C726" s="143" t="s">
        <v>682</v>
      </c>
      <c r="D726" s="135" t="s">
        <v>52</v>
      </c>
      <c r="E726" s="116">
        <v>2</v>
      </c>
      <c r="F726" s="145">
        <v>209.96</v>
      </c>
      <c r="G726" s="48">
        <f t="shared" ref="G726:G743" si="249">TRUNC(F726*(1+$E$3),2)</f>
        <v>266.08</v>
      </c>
      <c r="H726" s="48">
        <f t="shared" ref="H726:H743" si="250">TRUNC((G726*E726),2)</f>
        <v>532.16</v>
      </c>
    </row>
    <row r="727" spans="1:9" ht="78.75" x14ac:dyDescent="0.25">
      <c r="A727" s="53" t="s">
        <v>3506</v>
      </c>
      <c r="B727" s="234" t="s">
        <v>303</v>
      </c>
      <c r="C727" s="143" t="s">
        <v>424</v>
      </c>
      <c r="D727" s="135" t="s">
        <v>52</v>
      </c>
      <c r="E727" s="116">
        <v>9</v>
      </c>
      <c r="F727" s="145">
        <v>129.1</v>
      </c>
      <c r="G727" s="48">
        <f t="shared" si="249"/>
        <v>163.6</v>
      </c>
      <c r="H727" s="48">
        <f t="shared" si="250"/>
        <v>1472.4</v>
      </c>
    </row>
    <row r="728" spans="1:9" ht="31.5" x14ac:dyDescent="0.25">
      <c r="A728" s="53" t="s">
        <v>3507</v>
      </c>
      <c r="B728" s="234">
        <v>72289</v>
      </c>
      <c r="C728" s="143" t="s">
        <v>304</v>
      </c>
      <c r="D728" s="135" t="s">
        <v>52</v>
      </c>
      <c r="E728" s="116">
        <v>6</v>
      </c>
      <c r="F728" s="145">
        <v>322.83999999999997</v>
      </c>
      <c r="G728" s="48">
        <f t="shared" si="249"/>
        <v>409.13</v>
      </c>
      <c r="H728" s="48">
        <f t="shared" si="250"/>
        <v>2454.7800000000002</v>
      </c>
    </row>
    <row r="729" spans="1:9" ht="63" x14ac:dyDescent="0.25">
      <c r="A729" s="53" t="s">
        <v>3508</v>
      </c>
      <c r="B729" s="234">
        <v>89707</v>
      </c>
      <c r="C729" s="153" t="s">
        <v>3446</v>
      </c>
      <c r="D729" s="135" t="s">
        <v>52</v>
      </c>
      <c r="E729" s="116">
        <v>13</v>
      </c>
      <c r="F729" s="145">
        <v>19.59</v>
      </c>
      <c r="G729" s="48">
        <f t="shared" si="249"/>
        <v>24.82</v>
      </c>
      <c r="H729" s="48">
        <f t="shared" si="250"/>
        <v>322.66000000000003</v>
      </c>
    </row>
    <row r="730" spans="1:9" ht="31.5" x14ac:dyDescent="0.25">
      <c r="A730" s="53" t="s">
        <v>3509</v>
      </c>
      <c r="B730" s="234" t="s">
        <v>355</v>
      </c>
      <c r="C730" s="143" t="s">
        <v>356</v>
      </c>
      <c r="D730" s="135" t="s">
        <v>52</v>
      </c>
      <c r="E730" s="116">
        <v>16</v>
      </c>
      <c r="F730" s="145">
        <v>35.869999999999997</v>
      </c>
      <c r="G730" s="48">
        <f t="shared" si="249"/>
        <v>45.45</v>
      </c>
      <c r="H730" s="48">
        <f t="shared" si="250"/>
        <v>727.2</v>
      </c>
    </row>
    <row r="731" spans="1:9" ht="63" x14ac:dyDescent="0.25">
      <c r="A731" s="53" t="s">
        <v>3510</v>
      </c>
      <c r="B731" s="234">
        <v>89810</v>
      </c>
      <c r="C731" s="143" t="s">
        <v>3447</v>
      </c>
      <c r="D731" s="135" t="s">
        <v>52</v>
      </c>
      <c r="E731" s="116">
        <v>18</v>
      </c>
      <c r="F731" s="145">
        <v>12.78</v>
      </c>
      <c r="G731" s="48">
        <f t="shared" si="249"/>
        <v>16.190000000000001</v>
      </c>
      <c r="H731" s="48">
        <f t="shared" si="250"/>
        <v>291.42</v>
      </c>
    </row>
    <row r="732" spans="1:9" ht="63" x14ac:dyDescent="0.25">
      <c r="A732" s="53" t="s">
        <v>3511</v>
      </c>
      <c r="B732" s="234">
        <v>89802</v>
      </c>
      <c r="C732" s="143" t="s">
        <v>3448</v>
      </c>
      <c r="D732" s="135" t="s">
        <v>52</v>
      </c>
      <c r="E732" s="116">
        <v>31</v>
      </c>
      <c r="F732" s="145">
        <v>5.0999999999999996</v>
      </c>
      <c r="G732" s="48">
        <f t="shared" si="249"/>
        <v>6.46</v>
      </c>
      <c r="H732" s="48">
        <f t="shared" si="250"/>
        <v>200.26</v>
      </c>
    </row>
    <row r="733" spans="1:9" ht="63" x14ac:dyDescent="0.25">
      <c r="A733" s="53" t="s">
        <v>3512</v>
      </c>
      <c r="B733" s="234">
        <v>89806</v>
      </c>
      <c r="C733" s="143" t="s">
        <v>3449</v>
      </c>
      <c r="D733" s="135" t="s">
        <v>52</v>
      </c>
      <c r="E733" s="116">
        <v>6</v>
      </c>
      <c r="F733" s="145">
        <v>10.1</v>
      </c>
      <c r="G733" s="48">
        <f t="shared" si="249"/>
        <v>12.79</v>
      </c>
      <c r="H733" s="48">
        <f t="shared" si="250"/>
        <v>76.739999999999995</v>
      </c>
    </row>
    <row r="734" spans="1:9" ht="63" x14ac:dyDescent="0.25">
      <c r="A734" s="53" t="s">
        <v>3513</v>
      </c>
      <c r="B734" s="234">
        <v>89726</v>
      </c>
      <c r="C734" s="143" t="s">
        <v>683</v>
      </c>
      <c r="D734" s="135" t="s">
        <v>52</v>
      </c>
      <c r="E734" s="116">
        <v>3</v>
      </c>
      <c r="F734" s="145">
        <v>6.18</v>
      </c>
      <c r="G734" s="48">
        <f t="shared" si="249"/>
        <v>7.83</v>
      </c>
      <c r="H734" s="48">
        <f t="shared" si="250"/>
        <v>23.49</v>
      </c>
    </row>
    <row r="735" spans="1:9" ht="63" x14ac:dyDescent="0.25">
      <c r="A735" s="53" t="s">
        <v>3514</v>
      </c>
      <c r="B735" s="234">
        <v>89811</v>
      </c>
      <c r="C735" s="143" t="s">
        <v>3450</v>
      </c>
      <c r="D735" s="135" t="s">
        <v>52</v>
      </c>
      <c r="E735" s="116">
        <v>23</v>
      </c>
      <c r="F735" s="145">
        <v>22.21</v>
      </c>
      <c r="G735" s="48">
        <f t="shared" si="249"/>
        <v>28.14</v>
      </c>
      <c r="H735" s="48">
        <f t="shared" si="250"/>
        <v>647.22</v>
      </c>
    </row>
    <row r="736" spans="1:9" ht="63" x14ac:dyDescent="0.25">
      <c r="A736" s="53" t="s">
        <v>3515</v>
      </c>
      <c r="B736" s="234">
        <v>89728</v>
      </c>
      <c r="C736" s="143" t="s">
        <v>684</v>
      </c>
      <c r="D736" s="135" t="s">
        <v>52</v>
      </c>
      <c r="E736" s="116">
        <v>26</v>
      </c>
      <c r="F736" s="145">
        <v>7.43</v>
      </c>
      <c r="G736" s="48">
        <f t="shared" si="249"/>
        <v>9.41</v>
      </c>
      <c r="H736" s="48">
        <f t="shared" si="250"/>
        <v>244.66</v>
      </c>
    </row>
    <row r="737" spans="1:8" ht="63" x14ac:dyDescent="0.25">
      <c r="A737" s="53" t="s">
        <v>3516</v>
      </c>
      <c r="B737" s="234">
        <v>89801</v>
      </c>
      <c r="C737" s="143" t="s">
        <v>3451</v>
      </c>
      <c r="D737" s="135" t="s">
        <v>52</v>
      </c>
      <c r="E737" s="116">
        <v>27</v>
      </c>
      <c r="F737" s="145">
        <v>4.54</v>
      </c>
      <c r="G737" s="48">
        <f t="shared" si="249"/>
        <v>5.75</v>
      </c>
      <c r="H737" s="48">
        <f t="shared" si="250"/>
        <v>155.25</v>
      </c>
    </row>
    <row r="738" spans="1:8" ht="63" x14ac:dyDescent="0.25">
      <c r="A738" s="53" t="s">
        <v>3517</v>
      </c>
      <c r="B738" s="234">
        <v>89805</v>
      </c>
      <c r="C738" s="153" t="s">
        <v>3452</v>
      </c>
      <c r="D738" s="135" t="s">
        <v>52</v>
      </c>
      <c r="E738" s="116">
        <v>6</v>
      </c>
      <c r="F738" s="145">
        <v>9.2899999999999991</v>
      </c>
      <c r="G738" s="48">
        <f t="shared" si="249"/>
        <v>11.77</v>
      </c>
      <c r="H738" s="48">
        <f t="shared" si="250"/>
        <v>70.62</v>
      </c>
    </row>
    <row r="739" spans="1:8" ht="63" x14ac:dyDescent="0.25">
      <c r="A739" s="53" t="s">
        <v>3518</v>
      </c>
      <c r="B739" s="234">
        <v>89809</v>
      </c>
      <c r="C739" s="143" t="s">
        <v>3453</v>
      </c>
      <c r="D739" s="135" t="s">
        <v>52</v>
      </c>
      <c r="E739" s="116">
        <v>17</v>
      </c>
      <c r="F739" s="145">
        <v>12.71</v>
      </c>
      <c r="G739" s="48">
        <f t="shared" si="249"/>
        <v>16.100000000000001</v>
      </c>
      <c r="H739" s="48">
        <f t="shared" si="250"/>
        <v>273.7</v>
      </c>
    </row>
    <row r="740" spans="1:8" ht="63" x14ac:dyDescent="0.25">
      <c r="A740" s="53" t="s">
        <v>3519</v>
      </c>
      <c r="B740" s="234">
        <v>89724</v>
      </c>
      <c r="C740" s="143" t="s">
        <v>685</v>
      </c>
      <c r="D740" s="135" t="s">
        <v>52</v>
      </c>
      <c r="E740" s="116">
        <v>26</v>
      </c>
      <c r="F740" s="145">
        <v>5.41</v>
      </c>
      <c r="G740" s="48">
        <f t="shared" si="249"/>
        <v>6.85</v>
      </c>
      <c r="H740" s="48">
        <f t="shared" si="250"/>
        <v>178.1</v>
      </c>
    </row>
    <row r="741" spans="1:8" ht="31.5" x14ac:dyDescent="0.25">
      <c r="A741" s="53" t="s">
        <v>3520</v>
      </c>
      <c r="B741" s="234" t="s">
        <v>346</v>
      </c>
      <c r="C741" s="143" t="s">
        <v>347</v>
      </c>
      <c r="D741" s="135" t="s">
        <v>52</v>
      </c>
      <c r="E741" s="116">
        <v>24</v>
      </c>
      <c r="F741" s="145">
        <v>29.82</v>
      </c>
      <c r="G741" s="48">
        <f t="shared" si="249"/>
        <v>37.79</v>
      </c>
      <c r="H741" s="48">
        <f t="shared" si="250"/>
        <v>906.96</v>
      </c>
    </row>
    <row r="742" spans="1:8" ht="63" x14ac:dyDescent="0.25">
      <c r="A742" s="53" t="s">
        <v>3521</v>
      </c>
      <c r="B742" s="234">
        <v>89830</v>
      </c>
      <c r="C742" s="143" t="s">
        <v>3454</v>
      </c>
      <c r="D742" s="135" t="s">
        <v>52</v>
      </c>
      <c r="E742" s="116">
        <v>4</v>
      </c>
      <c r="F742" s="145">
        <v>19.09</v>
      </c>
      <c r="G742" s="48">
        <f t="shared" si="249"/>
        <v>24.19</v>
      </c>
      <c r="H742" s="48">
        <f t="shared" si="250"/>
        <v>96.76</v>
      </c>
    </row>
    <row r="743" spans="1:8" ht="63" x14ac:dyDescent="0.25">
      <c r="A743" s="53" t="s">
        <v>3522</v>
      </c>
      <c r="B743" s="234">
        <v>89834</v>
      </c>
      <c r="C743" s="143" t="s">
        <v>3455</v>
      </c>
      <c r="D743" s="135" t="s">
        <v>52</v>
      </c>
      <c r="E743" s="116">
        <v>15</v>
      </c>
      <c r="F743" s="145">
        <v>26.78</v>
      </c>
      <c r="G743" s="48">
        <f t="shared" si="249"/>
        <v>33.93</v>
      </c>
      <c r="H743" s="48">
        <f t="shared" si="250"/>
        <v>508.95</v>
      </c>
    </row>
    <row r="744" spans="1:8" ht="63" x14ac:dyDescent="0.25">
      <c r="A744" s="53" t="s">
        <v>3523</v>
      </c>
      <c r="B744" s="234">
        <v>89827</v>
      </c>
      <c r="C744" s="143" t="s">
        <v>3456</v>
      </c>
      <c r="D744" s="135" t="s">
        <v>52</v>
      </c>
      <c r="E744" s="116">
        <v>7</v>
      </c>
      <c r="F744" s="145">
        <v>10.83</v>
      </c>
      <c r="G744" s="48">
        <f t="shared" ref="G744" si="251">TRUNC(F744*(1+$E$3),2)</f>
        <v>13.72</v>
      </c>
      <c r="H744" s="48">
        <f t="shared" ref="H744" si="252">TRUNC((G744*E744),2)</f>
        <v>96.04</v>
      </c>
    </row>
    <row r="745" spans="1:8" ht="31.5" x14ac:dyDescent="0.25">
      <c r="A745" s="53" t="s">
        <v>3524</v>
      </c>
      <c r="B745" s="234" t="s">
        <v>357</v>
      </c>
      <c r="C745" s="143" t="s">
        <v>686</v>
      </c>
      <c r="D745" s="135" t="s">
        <v>52</v>
      </c>
      <c r="E745" s="116">
        <v>1</v>
      </c>
      <c r="F745" s="145">
        <v>23.31</v>
      </c>
      <c r="G745" s="48">
        <f t="shared" ref="G745" si="253">TRUNC(F745*(1+$E$3),2)</f>
        <v>29.54</v>
      </c>
      <c r="H745" s="48">
        <f t="shared" ref="H745" si="254">TRUNC((G745*E745),2)</f>
        <v>29.54</v>
      </c>
    </row>
    <row r="746" spans="1:8" x14ac:dyDescent="0.25">
      <c r="A746" s="53" t="s">
        <v>3525</v>
      </c>
      <c r="B746" s="234" t="s">
        <v>358</v>
      </c>
      <c r="C746" s="143" t="s">
        <v>687</v>
      </c>
      <c r="D746" s="135" t="s">
        <v>52</v>
      </c>
      <c r="E746" s="116">
        <v>6</v>
      </c>
      <c r="F746" s="145">
        <v>13.72</v>
      </c>
      <c r="G746" s="48">
        <f t="shared" ref="G746:G753" si="255">TRUNC(F746*(1+$E$3),2)</f>
        <v>17.38</v>
      </c>
      <c r="H746" s="48">
        <f t="shared" ref="H746:H753" si="256">TRUNC((G746*E746),2)</f>
        <v>104.28</v>
      </c>
    </row>
    <row r="747" spans="1:8" ht="31.5" x14ac:dyDescent="0.25">
      <c r="A747" s="53" t="s">
        <v>3526</v>
      </c>
      <c r="B747" s="234" t="s">
        <v>688</v>
      </c>
      <c r="C747" s="143" t="s">
        <v>689</v>
      </c>
      <c r="D747" s="135" t="s">
        <v>60</v>
      </c>
      <c r="E747" s="116">
        <v>6</v>
      </c>
      <c r="F747" s="145">
        <v>10.98</v>
      </c>
      <c r="G747" s="48">
        <f t="shared" si="255"/>
        <v>13.91</v>
      </c>
      <c r="H747" s="48">
        <f t="shared" si="256"/>
        <v>83.46</v>
      </c>
    </row>
    <row r="748" spans="1:8" ht="47.25" x14ac:dyDescent="0.25">
      <c r="A748" s="53" t="s">
        <v>3527</v>
      </c>
      <c r="B748" s="234">
        <v>89800</v>
      </c>
      <c r="C748" s="153" t="s">
        <v>3457</v>
      </c>
      <c r="D748" s="135" t="s">
        <v>75</v>
      </c>
      <c r="E748" s="116">
        <v>251.1</v>
      </c>
      <c r="F748" s="145">
        <v>15.11</v>
      </c>
      <c r="G748" s="48">
        <f t="shared" si="255"/>
        <v>19.14</v>
      </c>
      <c r="H748" s="48">
        <f t="shared" si="256"/>
        <v>4806.05</v>
      </c>
    </row>
    <row r="749" spans="1:8" ht="47.25" x14ac:dyDescent="0.25">
      <c r="A749" s="53" t="s">
        <v>3528</v>
      </c>
      <c r="B749" s="234">
        <v>89798</v>
      </c>
      <c r="C749" s="143" t="s">
        <v>3458</v>
      </c>
      <c r="D749" s="135" t="s">
        <v>75</v>
      </c>
      <c r="E749" s="116">
        <v>83.23</v>
      </c>
      <c r="F749" s="145">
        <v>7.6</v>
      </c>
      <c r="G749" s="48">
        <f t="shared" si="255"/>
        <v>9.6300000000000008</v>
      </c>
      <c r="H749" s="48">
        <f t="shared" si="256"/>
        <v>801.5</v>
      </c>
    </row>
    <row r="750" spans="1:8" ht="47.25" x14ac:dyDescent="0.25">
      <c r="A750" s="53" t="s">
        <v>3529</v>
      </c>
      <c r="B750" s="234">
        <v>89799</v>
      </c>
      <c r="C750" s="143" t="s">
        <v>3459</v>
      </c>
      <c r="D750" s="135" t="s">
        <v>75</v>
      </c>
      <c r="E750" s="116">
        <v>25.11</v>
      </c>
      <c r="F750" s="145">
        <v>12.04</v>
      </c>
      <c r="G750" s="48">
        <f t="shared" si="255"/>
        <v>15.25</v>
      </c>
      <c r="H750" s="48">
        <f t="shared" si="256"/>
        <v>382.92</v>
      </c>
    </row>
    <row r="751" spans="1:8" ht="47.25" x14ac:dyDescent="0.25">
      <c r="A751" s="53" t="s">
        <v>3530</v>
      </c>
      <c r="B751" s="234">
        <v>89849</v>
      </c>
      <c r="C751" s="143" t="s">
        <v>1091</v>
      </c>
      <c r="D751" s="135" t="s">
        <v>75</v>
      </c>
      <c r="E751" s="116">
        <v>10.5</v>
      </c>
      <c r="F751" s="145">
        <v>34.46</v>
      </c>
      <c r="G751" s="48">
        <f t="shared" si="255"/>
        <v>43.67</v>
      </c>
      <c r="H751" s="48">
        <f t="shared" si="256"/>
        <v>458.53</v>
      </c>
    </row>
    <row r="752" spans="1:8" ht="47.25" x14ac:dyDescent="0.25">
      <c r="A752" s="53" t="s">
        <v>3531</v>
      </c>
      <c r="B752" s="234">
        <v>89711</v>
      </c>
      <c r="C752" s="143" t="s">
        <v>447</v>
      </c>
      <c r="D752" s="135" t="s">
        <v>75</v>
      </c>
      <c r="E752" s="116">
        <v>25.47</v>
      </c>
      <c r="F752" s="145">
        <v>12.95</v>
      </c>
      <c r="G752" s="48">
        <f t="shared" si="255"/>
        <v>16.41</v>
      </c>
      <c r="H752" s="48">
        <f t="shared" si="256"/>
        <v>417.96</v>
      </c>
    </row>
    <row r="753" spans="1:8" ht="63" x14ac:dyDescent="0.25">
      <c r="A753" s="53" t="s">
        <v>3532</v>
      </c>
      <c r="B753" s="234">
        <v>89825</v>
      </c>
      <c r="C753" s="143" t="s">
        <v>3460</v>
      </c>
      <c r="D753" s="135" t="s">
        <v>52</v>
      </c>
      <c r="E753" s="116">
        <v>10</v>
      </c>
      <c r="F753" s="145">
        <v>9.9700000000000006</v>
      </c>
      <c r="G753" s="48">
        <f t="shared" si="255"/>
        <v>12.63</v>
      </c>
      <c r="H753" s="48">
        <f t="shared" si="256"/>
        <v>126.3</v>
      </c>
    </row>
    <row r="754" spans="1:8" x14ac:dyDescent="0.25">
      <c r="A754" s="62"/>
      <c r="B754" s="62"/>
      <c r="C754" s="90" t="s">
        <v>13</v>
      </c>
      <c r="D754" s="62"/>
      <c r="E754" s="64"/>
      <c r="F754" s="64"/>
      <c r="G754" s="65"/>
      <c r="H754" s="65">
        <f>SUM(H726:H753)</f>
        <v>16489.91</v>
      </c>
    </row>
    <row r="755" spans="1:8" x14ac:dyDescent="0.25">
      <c r="A755" s="119" t="s">
        <v>499</v>
      </c>
      <c r="B755" s="119"/>
      <c r="C755" s="130" t="s">
        <v>109</v>
      </c>
      <c r="D755" s="119"/>
      <c r="E755" s="128"/>
      <c r="F755" s="128"/>
      <c r="G755" s="56"/>
      <c r="H755" s="56"/>
    </row>
    <row r="756" spans="1:8" ht="63" x14ac:dyDescent="0.25">
      <c r="A756" s="53" t="s">
        <v>3462</v>
      </c>
      <c r="B756" s="234">
        <v>89803</v>
      </c>
      <c r="C756" s="143" t="s">
        <v>3461</v>
      </c>
      <c r="D756" s="135" t="s">
        <v>52</v>
      </c>
      <c r="E756" s="144">
        <v>2</v>
      </c>
      <c r="F756" s="145">
        <v>10.02</v>
      </c>
      <c r="G756" s="48">
        <f t="shared" ref="G756" si="257">TRUNC(F756*(1+$E$3),2)</f>
        <v>12.69</v>
      </c>
      <c r="H756" s="48">
        <f t="shared" ref="H756" si="258">TRUNC((G756*E756),2)</f>
        <v>25.38</v>
      </c>
    </row>
    <row r="757" spans="1:8" ht="63" x14ac:dyDescent="0.25">
      <c r="A757" s="53" t="s">
        <v>3463</v>
      </c>
      <c r="B757" s="234">
        <v>89827</v>
      </c>
      <c r="C757" s="153" t="s">
        <v>3456</v>
      </c>
      <c r="D757" s="135" t="s">
        <v>52</v>
      </c>
      <c r="E757" s="144">
        <v>2</v>
      </c>
      <c r="F757" s="145">
        <v>10.83</v>
      </c>
      <c r="G757" s="48">
        <f t="shared" ref="G757:G761" si="259">TRUNC(F757*(1+$E$3),2)</f>
        <v>13.72</v>
      </c>
      <c r="H757" s="48">
        <f t="shared" ref="H757:H761" si="260">TRUNC((G757*E757),2)</f>
        <v>27.44</v>
      </c>
    </row>
    <row r="758" spans="1:8" ht="63" x14ac:dyDescent="0.25">
      <c r="A758" s="53" t="s">
        <v>3464</v>
      </c>
      <c r="B758" s="234">
        <v>89801</v>
      </c>
      <c r="C758" s="143" t="s">
        <v>3451</v>
      </c>
      <c r="D758" s="135" t="s">
        <v>52</v>
      </c>
      <c r="E758" s="144">
        <v>24</v>
      </c>
      <c r="F758" s="145">
        <v>4.54</v>
      </c>
      <c r="G758" s="48">
        <f t="shared" si="259"/>
        <v>5.75</v>
      </c>
      <c r="H758" s="48">
        <f t="shared" si="260"/>
        <v>138</v>
      </c>
    </row>
    <row r="759" spans="1:8" ht="31.5" x14ac:dyDescent="0.25">
      <c r="A759" s="53" t="s">
        <v>3465</v>
      </c>
      <c r="B759" s="234" t="s">
        <v>359</v>
      </c>
      <c r="C759" s="153" t="s">
        <v>360</v>
      </c>
      <c r="D759" s="135" t="s">
        <v>52</v>
      </c>
      <c r="E759" s="144">
        <v>10</v>
      </c>
      <c r="F759" s="145">
        <v>7.77</v>
      </c>
      <c r="G759" s="48">
        <f t="shared" si="259"/>
        <v>9.84</v>
      </c>
      <c r="H759" s="48">
        <f t="shared" si="260"/>
        <v>98.4</v>
      </c>
    </row>
    <row r="760" spans="1:8" ht="47.25" x14ac:dyDescent="0.25">
      <c r="A760" s="53" t="s">
        <v>3466</v>
      </c>
      <c r="B760" s="234">
        <v>89798</v>
      </c>
      <c r="C760" s="143" t="s">
        <v>3458</v>
      </c>
      <c r="D760" s="135" t="s">
        <v>75</v>
      </c>
      <c r="E760" s="144">
        <v>75.489999999999995</v>
      </c>
      <c r="F760" s="145">
        <v>7.6</v>
      </c>
      <c r="G760" s="48">
        <f t="shared" si="259"/>
        <v>9.6300000000000008</v>
      </c>
      <c r="H760" s="48">
        <f t="shared" si="260"/>
        <v>726.96</v>
      </c>
    </row>
    <row r="761" spans="1:8" ht="63" x14ac:dyDescent="0.25">
      <c r="A761" s="53" t="s">
        <v>3467</v>
      </c>
      <c r="B761" s="234">
        <v>89825</v>
      </c>
      <c r="C761" s="153" t="s">
        <v>3460</v>
      </c>
      <c r="D761" s="135" t="s">
        <v>52</v>
      </c>
      <c r="E761" s="144">
        <v>21</v>
      </c>
      <c r="F761" s="145">
        <v>9.9700000000000006</v>
      </c>
      <c r="G761" s="48">
        <f t="shared" si="259"/>
        <v>12.63</v>
      </c>
      <c r="H761" s="48">
        <f t="shared" si="260"/>
        <v>265.23</v>
      </c>
    </row>
    <row r="762" spans="1:8" x14ac:dyDescent="0.25">
      <c r="A762" s="62"/>
      <c r="B762" s="62"/>
      <c r="C762" s="90" t="s">
        <v>13</v>
      </c>
      <c r="D762" s="62"/>
      <c r="E762" s="64"/>
      <c r="F762" s="152"/>
      <c r="G762" s="65"/>
      <c r="H762" s="65">
        <f>SUM(H756:H761)</f>
        <v>1281.4100000000001</v>
      </c>
    </row>
    <row r="763" spans="1:8" x14ac:dyDescent="0.25">
      <c r="A763" s="119" t="s">
        <v>3468</v>
      </c>
      <c r="B763" s="119"/>
      <c r="C763" s="130" t="s">
        <v>108</v>
      </c>
      <c r="D763" s="119"/>
      <c r="E763" s="128"/>
      <c r="F763" s="128"/>
      <c r="G763" s="56"/>
      <c r="H763" s="56"/>
    </row>
    <row r="764" spans="1:8" ht="31.5" x14ac:dyDescent="0.25">
      <c r="A764" s="53" t="s">
        <v>3469</v>
      </c>
      <c r="B764" s="167" t="s">
        <v>3470</v>
      </c>
      <c r="C764" s="171" t="s">
        <v>3471</v>
      </c>
      <c r="D764" s="135" t="s">
        <v>52</v>
      </c>
      <c r="E764" s="116">
        <v>1</v>
      </c>
      <c r="F764" s="145">
        <v>7278.12</v>
      </c>
      <c r="G764" s="48">
        <f t="shared" ref="G764" si="261">TRUNC(F764*(1+$E$3),2)</f>
        <v>9223.56</v>
      </c>
      <c r="H764" s="48">
        <f t="shared" ref="H764" si="262">TRUNC((G764*E764),2)</f>
        <v>9223.56</v>
      </c>
    </row>
    <row r="765" spans="1:8" ht="31.5" x14ac:dyDescent="0.25">
      <c r="A765" s="53" t="s">
        <v>3478</v>
      </c>
      <c r="B765" s="167" t="s">
        <v>3472</v>
      </c>
      <c r="C765" s="171" t="s">
        <v>3473</v>
      </c>
      <c r="D765" s="135" t="s">
        <v>52</v>
      </c>
      <c r="E765" s="116">
        <v>1</v>
      </c>
      <c r="F765" s="145">
        <v>13655.35</v>
      </c>
      <c r="G765" s="48">
        <f t="shared" ref="G765:G767" si="263">TRUNC(F765*(1+$E$3),2)</f>
        <v>17305.419999999998</v>
      </c>
      <c r="H765" s="48">
        <f t="shared" ref="H765:H767" si="264">TRUNC((G765*E765),2)</f>
        <v>17305.419999999998</v>
      </c>
    </row>
    <row r="766" spans="1:8" ht="31.5" x14ac:dyDescent="0.25">
      <c r="A766" s="53" t="s">
        <v>3479</v>
      </c>
      <c r="B766" s="234" t="s">
        <v>3474</v>
      </c>
      <c r="C766" s="171" t="s">
        <v>3475</v>
      </c>
      <c r="D766" s="135" t="s">
        <v>52</v>
      </c>
      <c r="E766" s="116">
        <v>2</v>
      </c>
      <c r="F766" s="145">
        <v>6678.38</v>
      </c>
      <c r="G766" s="48">
        <f t="shared" si="263"/>
        <v>8463.51</v>
      </c>
      <c r="H766" s="48">
        <f t="shared" si="264"/>
        <v>16927.02</v>
      </c>
    </row>
    <row r="767" spans="1:8" ht="63" x14ac:dyDescent="0.25">
      <c r="A767" s="53" t="s">
        <v>3480</v>
      </c>
      <c r="B767" s="135" t="s">
        <v>3476</v>
      </c>
      <c r="C767" s="171" t="s">
        <v>3477</v>
      </c>
      <c r="D767" s="135" t="s">
        <v>52</v>
      </c>
      <c r="E767" s="116">
        <v>3</v>
      </c>
      <c r="F767" s="145">
        <v>3917.05</v>
      </c>
      <c r="G767" s="48">
        <f t="shared" si="263"/>
        <v>4964.07</v>
      </c>
      <c r="H767" s="48">
        <f t="shared" si="264"/>
        <v>14892.21</v>
      </c>
    </row>
    <row r="768" spans="1:8" ht="63" x14ac:dyDescent="0.25">
      <c r="A768" s="53" t="s">
        <v>5562</v>
      </c>
      <c r="B768" s="135" t="s">
        <v>5560</v>
      </c>
      <c r="C768" s="171" t="s">
        <v>5561</v>
      </c>
      <c r="D768" s="135" t="s">
        <v>52</v>
      </c>
      <c r="E768" s="116">
        <v>1</v>
      </c>
      <c r="F768" s="145">
        <v>1158.99</v>
      </c>
      <c r="G768" s="48">
        <f t="shared" ref="G768" si="265">TRUNC(F768*(1+$E$3),2)</f>
        <v>1468.78</v>
      </c>
      <c r="H768" s="48">
        <f t="shared" ref="H768" si="266">TRUNC((G768*E768),2)</f>
        <v>1468.78</v>
      </c>
    </row>
    <row r="769" spans="1:8" x14ac:dyDescent="0.25">
      <c r="A769" s="62"/>
      <c r="B769" s="62"/>
      <c r="C769" s="90" t="s">
        <v>13</v>
      </c>
      <c r="D769" s="62"/>
      <c r="E769" s="64"/>
      <c r="F769" s="64"/>
      <c r="G769" s="65"/>
      <c r="H769" s="65">
        <f>SUM(H764:H768)</f>
        <v>59816.99</v>
      </c>
    </row>
    <row r="770" spans="1:8" ht="31.5" x14ac:dyDescent="0.25">
      <c r="A770" s="119" t="s">
        <v>3481</v>
      </c>
      <c r="B770" s="119"/>
      <c r="C770" s="133" t="s">
        <v>5495</v>
      </c>
      <c r="D770" s="119"/>
      <c r="E770" s="128"/>
      <c r="F770" s="128"/>
      <c r="G770" s="56"/>
      <c r="H770" s="56"/>
    </row>
    <row r="771" spans="1:8" ht="47.25" x14ac:dyDescent="0.25">
      <c r="A771" s="53" t="s">
        <v>3482</v>
      </c>
      <c r="B771" s="240">
        <v>89865</v>
      </c>
      <c r="C771" s="184" t="s">
        <v>691</v>
      </c>
      <c r="D771" s="185" t="s">
        <v>75</v>
      </c>
      <c r="E771" s="185">
        <v>187.39</v>
      </c>
      <c r="F771" s="145">
        <v>9.3000000000000007</v>
      </c>
      <c r="G771" s="48">
        <f t="shared" ref="G771:G772" si="267">TRUNC(F771*(1+$E$3),2)</f>
        <v>11.78</v>
      </c>
      <c r="H771" s="48">
        <f t="shared" ref="H771:H772" si="268">TRUNC((G771*E771),2)</f>
        <v>2207.4499999999998</v>
      </c>
    </row>
    <row r="772" spans="1:8" ht="31.5" x14ac:dyDescent="0.25">
      <c r="A772" s="53" t="s">
        <v>3483</v>
      </c>
      <c r="B772" s="240">
        <v>83446</v>
      </c>
      <c r="C772" s="168" t="s">
        <v>621</v>
      </c>
      <c r="D772" s="150" t="s">
        <v>52</v>
      </c>
      <c r="E772" s="185">
        <v>28</v>
      </c>
      <c r="F772" s="145">
        <v>136.33000000000001</v>
      </c>
      <c r="G772" s="48">
        <f t="shared" si="267"/>
        <v>172.77</v>
      </c>
      <c r="H772" s="48">
        <f t="shared" si="268"/>
        <v>4837.5600000000004</v>
      </c>
    </row>
    <row r="773" spans="1:8" ht="47.25" x14ac:dyDescent="0.25">
      <c r="A773" s="53" t="s">
        <v>3484</v>
      </c>
      <c r="B773" s="240">
        <v>89866</v>
      </c>
      <c r="C773" s="184" t="s">
        <v>3486</v>
      </c>
      <c r="D773" s="185" t="s">
        <v>52</v>
      </c>
      <c r="E773" s="185">
        <v>88</v>
      </c>
      <c r="F773" s="145">
        <v>3.47</v>
      </c>
      <c r="G773" s="48">
        <f t="shared" ref="G773" si="269">TRUNC(F773*(1+$E$3),2)</f>
        <v>4.3899999999999997</v>
      </c>
      <c r="H773" s="48">
        <f t="shared" ref="H773" si="270">TRUNC((G773*E773),2)</f>
        <v>386.32</v>
      </c>
    </row>
    <row r="774" spans="1:8" ht="47.25" x14ac:dyDescent="0.25">
      <c r="A774" s="53" t="s">
        <v>3485</v>
      </c>
      <c r="B774" s="240">
        <v>89869</v>
      </c>
      <c r="C774" s="168" t="s">
        <v>3487</v>
      </c>
      <c r="D774" s="150" t="s">
        <v>52</v>
      </c>
      <c r="E774" s="185">
        <v>20</v>
      </c>
      <c r="F774" s="145">
        <v>5.43</v>
      </c>
      <c r="G774" s="48">
        <f t="shared" ref="G774" si="271">TRUNC(F774*(1+$E$3),2)</f>
        <v>6.88</v>
      </c>
      <c r="H774" s="48">
        <f t="shared" ref="H774" si="272">TRUNC((G774*E774),2)</f>
        <v>137.6</v>
      </c>
    </row>
    <row r="775" spans="1:8" x14ac:dyDescent="0.25">
      <c r="A775" s="62"/>
      <c r="B775" s="154"/>
      <c r="C775" s="155" t="s">
        <v>13</v>
      </c>
      <c r="D775" s="154"/>
      <c r="E775" s="156"/>
      <c r="F775" s="156"/>
      <c r="G775" s="157"/>
      <c r="H775" s="157">
        <f>SUM(H771:H774)</f>
        <v>7568.93</v>
      </c>
    </row>
    <row r="776" spans="1:8" x14ac:dyDescent="0.25">
      <c r="A776" s="134" t="s">
        <v>3488</v>
      </c>
      <c r="B776" s="135"/>
      <c r="C776" s="133" t="s">
        <v>3489</v>
      </c>
      <c r="D776" s="116"/>
      <c r="E776" s="136"/>
      <c r="F776" s="137"/>
      <c r="G776" s="138"/>
      <c r="H776" s="138"/>
    </row>
    <row r="777" spans="1:8" ht="47.25" x14ac:dyDescent="0.25">
      <c r="A777" s="53" t="s">
        <v>3497</v>
      </c>
      <c r="B777" s="240">
        <v>72915</v>
      </c>
      <c r="C777" s="161" t="s">
        <v>242</v>
      </c>
      <c r="D777" s="135" t="s">
        <v>153</v>
      </c>
      <c r="E777" s="185">
        <v>28.35</v>
      </c>
      <c r="F777" s="145">
        <v>9.16</v>
      </c>
      <c r="G777" s="48">
        <f t="shared" ref="G777" si="273">TRUNC(F777*(1+$E$3),2)</f>
        <v>11.6</v>
      </c>
      <c r="H777" s="48">
        <f t="shared" ref="H777" si="274">TRUNC((G777*E777),2)</f>
        <v>328.86</v>
      </c>
    </row>
    <row r="778" spans="1:8" ht="94.5" x14ac:dyDescent="0.25">
      <c r="A778" s="53" t="s">
        <v>3498</v>
      </c>
      <c r="B778" s="240">
        <v>93380</v>
      </c>
      <c r="C778" s="143" t="s">
        <v>3490</v>
      </c>
      <c r="D778" s="135" t="s">
        <v>153</v>
      </c>
      <c r="E778" s="185">
        <v>25.72</v>
      </c>
      <c r="F778" s="145">
        <v>8.64</v>
      </c>
      <c r="G778" s="48">
        <f t="shared" ref="G778:G785" si="275">TRUNC(F778*(1+$E$3),2)</f>
        <v>10.94</v>
      </c>
      <c r="H778" s="48">
        <f t="shared" ref="H778:H785" si="276">TRUNC((G778*E778),2)</f>
        <v>281.37</v>
      </c>
    </row>
    <row r="779" spans="1:8" ht="63" x14ac:dyDescent="0.25">
      <c r="A779" s="53" t="s">
        <v>3499</v>
      </c>
      <c r="B779" s="240">
        <v>89809</v>
      </c>
      <c r="C779" s="153" t="s">
        <v>3453</v>
      </c>
      <c r="D779" s="135" t="s">
        <v>52</v>
      </c>
      <c r="E779" s="185">
        <v>75</v>
      </c>
      <c r="F779" s="145">
        <v>12.71</v>
      </c>
      <c r="G779" s="48">
        <f t="shared" si="275"/>
        <v>16.100000000000001</v>
      </c>
      <c r="H779" s="48">
        <f t="shared" si="276"/>
        <v>1207.5</v>
      </c>
    </row>
    <row r="780" spans="1:8" ht="31.5" x14ac:dyDescent="0.25">
      <c r="A780" s="53" t="s">
        <v>3500</v>
      </c>
      <c r="B780" s="240">
        <v>83671</v>
      </c>
      <c r="C780" s="153" t="s">
        <v>3491</v>
      </c>
      <c r="D780" s="135" t="s">
        <v>75</v>
      </c>
      <c r="E780" s="185">
        <v>232</v>
      </c>
      <c r="F780" s="145">
        <v>45.17</v>
      </c>
      <c r="G780" s="48">
        <f t="shared" si="275"/>
        <v>57.24</v>
      </c>
      <c r="H780" s="48">
        <f t="shared" si="276"/>
        <v>13279.68</v>
      </c>
    </row>
    <row r="781" spans="1:8" ht="31.5" x14ac:dyDescent="0.25">
      <c r="A781" s="53" t="s">
        <v>3501</v>
      </c>
      <c r="B781" s="240" t="s">
        <v>3492</v>
      </c>
      <c r="C781" s="186" t="s">
        <v>3493</v>
      </c>
      <c r="D781" s="135" t="s">
        <v>75</v>
      </c>
      <c r="E781" s="185">
        <v>25.14</v>
      </c>
      <c r="F781" s="145">
        <v>40.03</v>
      </c>
      <c r="G781" s="48">
        <f t="shared" si="275"/>
        <v>50.73</v>
      </c>
      <c r="H781" s="48">
        <f t="shared" si="276"/>
        <v>1275.3499999999999</v>
      </c>
    </row>
    <row r="782" spans="1:8" ht="47.25" x14ac:dyDescent="0.25">
      <c r="A782" s="53" t="s">
        <v>3502</v>
      </c>
      <c r="B782" s="240">
        <v>83675</v>
      </c>
      <c r="C782" s="143" t="s">
        <v>3494</v>
      </c>
      <c r="D782" s="150" t="s">
        <v>75</v>
      </c>
      <c r="E782" s="185">
        <v>93.5</v>
      </c>
      <c r="F782" s="145">
        <v>79.91</v>
      </c>
      <c r="G782" s="48">
        <f t="shared" si="275"/>
        <v>101.26</v>
      </c>
      <c r="H782" s="48">
        <f t="shared" si="276"/>
        <v>9467.81</v>
      </c>
    </row>
    <row r="783" spans="1:8" x14ac:dyDescent="0.25">
      <c r="A783" s="53" t="s">
        <v>3503</v>
      </c>
      <c r="B783" s="240" t="s">
        <v>3495</v>
      </c>
      <c r="C783" s="143" t="s">
        <v>3496</v>
      </c>
      <c r="D783" s="150" t="s">
        <v>52</v>
      </c>
      <c r="E783" s="185">
        <v>18</v>
      </c>
      <c r="F783" s="145">
        <v>28.68</v>
      </c>
      <c r="G783" s="48">
        <f t="shared" si="275"/>
        <v>36.340000000000003</v>
      </c>
      <c r="H783" s="48">
        <f t="shared" si="276"/>
        <v>654.12</v>
      </c>
    </row>
    <row r="784" spans="1:8" x14ac:dyDescent="0.25">
      <c r="A784" s="53" t="s">
        <v>3504</v>
      </c>
      <c r="B784" s="240">
        <v>83449</v>
      </c>
      <c r="C784" s="186" t="s">
        <v>312</v>
      </c>
      <c r="D784" s="135" t="s">
        <v>52</v>
      </c>
      <c r="E784" s="185">
        <v>18</v>
      </c>
      <c r="F784" s="145">
        <v>310.95</v>
      </c>
      <c r="G784" s="48">
        <f t="shared" si="275"/>
        <v>394.06</v>
      </c>
      <c r="H784" s="48">
        <f t="shared" si="276"/>
        <v>7093.08</v>
      </c>
    </row>
    <row r="785" spans="1:8" x14ac:dyDescent="0.25">
      <c r="A785" s="53" t="s">
        <v>3505</v>
      </c>
      <c r="B785" s="240">
        <v>83450</v>
      </c>
      <c r="C785" s="143" t="s">
        <v>465</v>
      </c>
      <c r="D785" s="150" t="s">
        <v>52</v>
      </c>
      <c r="E785" s="185">
        <v>4</v>
      </c>
      <c r="F785" s="145">
        <v>370.71</v>
      </c>
      <c r="G785" s="48">
        <f t="shared" si="275"/>
        <v>469.8</v>
      </c>
      <c r="H785" s="48">
        <f t="shared" si="276"/>
        <v>1879.2</v>
      </c>
    </row>
    <row r="786" spans="1:8" x14ac:dyDescent="0.25">
      <c r="A786" s="62"/>
      <c r="B786" s="49"/>
      <c r="C786" s="50" t="s">
        <v>13</v>
      </c>
      <c r="D786" s="49"/>
      <c r="E786" s="139"/>
      <c r="F786" s="140"/>
      <c r="G786" s="141"/>
      <c r="H786" s="141">
        <f>SUM(H777:H785)</f>
        <v>35466.969999999994</v>
      </c>
    </row>
    <row r="787" spans="1:8" x14ac:dyDescent="0.25">
      <c r="A787" s="62"/>
      <c r="B787" s="49"/>
      <c r="C787" s="50" t="s">
        <v>107</v>
      </c>
      <c r="D787" s="49"/>
      <c r="E787" s="139"/>
      <c r="F787" s="140"/>
      <c r="G787" s="141"/>
      <c r="H787" s="141">
        <f>SUM(H786,H775,H769,H762,H754,H724,H712,H703,H695,H691,H682,H671,H660,H653,H598)</f>
        <v>318589.51</v>
      </c>
    </row>
    <row r="788" spans="1:8" x14ac:dyDescent="0.25">
      <c r="A788" s="751" t="s">
        <v>3533</v>
      </c>
      <c r="B788" s="751"/>
      <c r="C788" s="751"/>
      <c r="D788" s="751"/>
      <c r="E788" s="751"/>
      <c r="F788" s="751"/>
      <c r="G788" s="751"/>
      <c r="H788" s="751"/>
    </row>
    <row r="789" spans="1:8" x14ac:dyDescent="0.25">
      <c r="A789" s="119" t="s">
        <v>88</v>
      </c>
      <c r="B789" s="53"/>
      <c r="C789" s="130" t="s">
        <v>3533</v>
      </c>
      <c r="D789" s="89"/>
      <c r="E789" s="89"/>
      <c r="F789" s="89"/>
      <c r="G789" s="56"/>
      <c r="H789" s="56"/>
    </row>
    <row r="790" spans="1:8" x14ac:dyDescent="0.25">
      <c r="A790" s="119" t="s">
        <v>73</v>
      </c>
      <c r="B790" s="53"/>
      <c r="C790" s="130" t="s">
        <v>3534</v>
      </c>
      <c r="D790" s="89"/>
      <c r="E790" s="89"/>
      <c r="F790" s="89"/>
      <c r="G790" s="56"/>
      <c r="H790" s="56"/>
    </row>
    <row r="791" spans="1:8" ht="47.25" x14ac:dyDescent="0.25">
      <c r="A791" s="53" t="s">
        <v>3535</v>
      </c>
      <c r="B791" s="234">
        <v>91926</v>
      </c>
      <c r="C791" s="170" t="s">
        <v>601</v>
      </c>
      <c r="D791" s="175" t="s">
        <v>75</v>
      </c>
      <c r="E791" s="176">
        <v>5310</v>
      </c>
      <c r="F791" s="145">
        <v>2.17</v>
      </c>
      <c r="G791" s="48">
        <f t="shared" ref="G791:G841" si="277">TRUNC(F791*(1+$E$3),2)</f>
        <v>2.75</v>
      </c>
      <c r="H791" s="48">
        <f t="shared" ref="H791:H841" si="278">TRUNC((G791*E791),2)</f>
        <v>14602.5</v>
      </c>
    </row>
    <row r="792" spans="1:8" ht="47.25" x14ac:dyDescent="0.25">
      <c r="A792" s="53" t="s">
        <v>3536</v>
      </c>
      <c r="B792" s="234">
        <v>91928</v>
      </c>
      <c r="C792" s="170" t="s">
        <v>602</v>
      </c>
      <c r="D792" s="162" t="s">
        <v>75</v>
      </c>
      <c r="E792" s="178">
        <v>8439</v>
      </c>
      <c r="F792" s="145">
        <v>3.41</v>
      </c>
      <c r="G792" s="48">
        <f t="shared" si="277"/>
        <v>4.32</v>
      </c>
      <c r="H792" s="48">
        <f t="shared" si="278"/>
        <v>36456.480000000003</v>
      </c>
    </row>
    <row r="793" spans="1:8" ht="47.25" x14ac:dyDescent="0.25">
      <c r="A793" s="53" t="s">
        <v>3537</v>
      </c>
      <c r="B793" s="234">
        <v>91930</v>
      </c>
      <c r="C793" s="171" t="s">
        <v>603</v>
      </c>
      <c r="D793" s="175" t="s">
        <v>75</v>
      </c>
      <c r="E793" s="178">
        <v>1167</v>
      </c>
      <c r="F793" s="145">
        <v>4.6399999999999997</v>
      </c>
      <c r="G793" s="48">
        <f t="shared" si="277"/>
        <v>5.88</v>
      </c>
      <c r="H793" s="48">
        <f t="shared" si="278"/>
        <v>6861.96</v>
      </c>
    </row>
    <row r="794" spans="1:8" ht="31.5" x14ac:dyDescent="0.25">
      <c r="A794" s="53" t="s">
        <v>3538</v>
      </c>
      <c r="B794" s="234" t="s">
        <v>3596</v>
      </c>
      <c r="C794" s="179" t="s">
        <v>3597</v>
      </c>
      <c r="D794" s="175" t="s">
        <v>75</v>
      </c>
      <c r="E794" s="178">
        <v>1151</v>
      </c>
      <c r="F794" s="145">
        <v>12.03</v>
      </c>
      <c r="G794" s="48">
        <f t="shared" si="277"/>
        <v>15.24</v>
      </c>
      <c r="H794" s="48">
        <f t="shared" si="278"/>
        <v>17541.240000000002</v>
      </c>
    </row>
    <row r="795" spans="1:8" ht="31.5" x14ac:dyDescent="0.25">
      <c r="A795" s="53" t="s">
        <v>3539</v>
      </c>
      <c r="B795" s="234" t="s">
        <v>3598</v>
      </c>
      <c r="C795" s="180" t="s">
        <v>3599</v>
      </c>
      <c r="D795" s="175" t="s">
        <v>75</v>
      </c>
      <c r="E795" s="176">
        <v>107</v>
      </c>
      <c r="F795" s="145">
        <v>15.91</v>
      </c>
      <c r="G795" s="48">
        <f t="shared" si="277"/>
        <v>20.16</v>
      </c>
      <c r="H795" s="48">
        <f t="shared" si="278"/>
        <v>2157.12</v>
      </c>
    </row>
    <row r="796" spans="1:8" ht="31.5" x14ac:dyDescent="0.25">
      <c r="A796" s="53" t="s">
        <v>3540</v>
      </c>
      <c r="B796" s="234" t="s">
        <v>3600</v>
      </c>
      <c r="C796" s="170" t="s">
        <v>3601</v>
      </c>
      <c r="D796" s="175" t="s">
        <v>75</v>
      </c>
      <c r="E796" s="176">
        <v>88</v>
      </c>
      <c r="F796" s="145">
        <v>21.26</v>
      </c>
      <c r="G796" s="48">
        <f t="shared" si="277"/>
        <v>26.94</v>
      </c>
      <c r="H796" s="48">
        <f t="shared" si="278"/>
        <v>2370.7199999999998</v>
      </c>
    </row>
    <row r="797" spans="1:8" ht="31.5" x14ac:dyDescent="0.25">
      <c r="A797" s="53" t="s">
        <v>3541</v>
      </c>
      <c r="B797" s="234" t="s">
        <v>606</v>
      </c>
      <c r="C797" s="170" t="s">
        <v>607</v>
      </c>
      <c r="D797" s="162" t="s">
        <v>75</v>
      </c>
      <c r="E797" s="178">
        <v>151</v>
      </c>
      <c r="F797" s="145">
        <v>31.01</v>
      </c>
      <c r="G797" s="48">
        <f t="shared" si="277"/>
        <v>39.29</v>
      </c>
      <c r="H797" s="48">
        <f t="shared" si="278"/>
        <v>5932.79</v>
      </c>
    </row>
    <row r="798" spans="1:8" ht="31.5" x14ac:dyDescent="0.25">
      <c r="A798" s="53" t="s">
        <v>3542</v>
      </c>
      <c r="B798" s="234" t="s">
        <v>3602</v>
      </c>
      <c r="C798" s="171" t="s">
        <v>3603</v>
      </c>
      <c r="D798" s="175" t="s">
        <v>75</v>
      </c>
      <c r="E798" s="178">
        <v>375</v>
      </c>
      <c r="F798" s="145">
        <v>39</v>
      </c>
      <c r="G798" s="48">
        <f t="shared" si="277"/>
        <v>49.42</v>
      </c>
      <c r="H798" s="48">
        <f t="shared" si="278"/>
        <v>18532.5</v>
      </c>
    </row>
    <row r="799" spans="1:8" ht="31.5" x14ac:dyDescent="0.25">
      <c r="A799" s="53" t="s">
        <v>3543</v>
      </c>
      <c r="B799" s="234" t="s">
        <v>3604</v>
      </c>
      <c r="C799" s="179" t="s">
        <v>3605</v>
      </c>
      <c r="D799" s="175" t="s">
        <v>75</v>
      </c>
      <c r="E799" s="178">
        <v>376</v>
      </c>
      <c r="F799" s="145">
        <v>66.09</v>
      </c>
      <c r="G799" s="48">
        <f t="shared" si="277"/>
        <v>83.75</v>
      </c>
      <c r="H799" s="48">
        <f t="shared" si="278"/>
        <v>31490</v>
      </c>
    </row>
    <row r="800" spans="1:8" ht="47.25" x14ac:dyDescent="0.25">
      <c r="A800" s="53" t="s">
        <v>3544</v>
      </c>
      <c r="B800" s="234" t="s">
        <v>384</v>
      </c>
      <c r="C800" s="180" t="s">
        <v>464</v>
      </c>
      <c r="D800" s="175" t="s">
        <v>52</v>
      </c>
      <c r="E800" s="176">
        <v>305</v>
      </c>
      <c r="F800" s="145">
        <v>121.76</v>
      </c>
      <c r="G800" s="48">
        <f t="shared" si="277"/>
        <v>154.30000000000001</v>
      </c>
      <c r="H800" s="48">
        <f t="shared" si="278"/>
        <v>47061.5</v>
      </c>
    </row>
    <row r="801" spans="1:8" ht="31.5" x14ac:dyDescent="0.25">
      <c r="A801" s="53" t="s">
        <v>3545</v>
      </c>
      <c r="B801" s="234">
        <v>93043</v>
      </c>
      <c r="C801" s="170" t="s">
        <v>608</v>
      </c>
      <c r="D801" s="175" t="s">
        <v>52</v>
      </c>
      <c r="E801" s="176">
        <v>7</v>
      </c>
      <c r="F801" s="145">
        <v>24.78</v>
      </c>
      <c r="G801" s="48">
        <f t="shared" si="277"/>
        <v>31.4</v>
      </c>
      <c r="H801" s="48">
        <f t="shared" si="278"/>
        <v>219.8</v>
      </c>
    </row>
    <row r="802" spans="1:8" ht="31.5" x14ac:dyDescent="0.25">
      <c r="A802" s="53" t="s">
        <v>3546</v>
      </c>
      <c r="B802" s="234" t="s">
        <v>385</v>
      </c>
      <c r="C802" s="170" t="s">
        <v>386</v>
      </c>
      <c r="D802" s="162" t="s">
        <v>52</v>
      </c>
      <c r="E802" s="178">
        <v>25</v>
      </c>
      <c r="F802" s="145">
        <v>187.54</v>
      </c>
      <c r="G802" s="48">
        <f t="shared" si="277"/>
        <v>237.66</v>
      </c>
      <c r="H802" s="48">
        <f t="shared" si="278"/>
        <v>5941.5</v>
      </c>
    </row>
    <row r="803" spans="1:8" ht="47.25" x14ac:dyDescent="0.25">
      <c r="A803" s="53" t="s">
        <v>3547</v>
      </c>
      <c r="B803" s="234">
        <v>92869</v>
      </c>
      <c r="C803" s="171" t="s">
        <v>609</v>
      </c>
      <c r="D803" s="175" t="s">
        <v>52</v>
      </c>
      <c r="E803" s="178">
        <v>125</v>
      </c>
      <c r="F803" s="145">
        <v>6.37</v>
      </c>
      <c r="G803" s="48">
        <f t="shared" si="277"/>
        <v>8.07</v>
      </c>
      <c r="H803" s="48">
        <f t="shared" si="278"/>
        <v>1008.75</v>
      </c>
    </row>
    <row r="804" spans="1:8" ht="47.25" x14ac:dyDescent="0.25">
      <c r="A804" s="53" t="s">
        <v>3548</v>
      </c>
      <c r="B804" s="234">
        <v>92868</v>
      </c>
      <c r="C804" s="179" t="s">
        <v>628</v>
      </c>
      <c r="D804" s="175" t="s">
        <v>52</v>
      </c>
      <c r="E804" s="178">
        <v>75</v>
      </c>
      <c r="F804" s="145">
        <v>9.64</v>
      </c>
      <c r="G804" s="48">
        <f t="shared" si="277"/>
        <v>12.21</v>
      </c>
      <c r="H804" s="48">
        <f t="shared" si="278"/>
        <v>915.75</v>
      </c>
    </row>
    <row r="805" spans="1:8" ht="47.25" x14ac:dyDescent="0.25">
      <c r="A805" s="53" t="s">
        <v>3549</v>
      </c>
      <c r="B805" s="234">
        <v>92867</v>
      </c>
      <c r="C805" s="180" t="s">
        <v>629</v>
      </c>
      <c r="D805" s="175" t="s">
        <v>52</v>
      </c>
      <c r="E805" s="176">
        <v>101</v>
      </c>
      <c r="F805" s="145">
        <v>18.38</v>
      </c>
      <c r="G805" s="48">
        <f t="shared" si="277"/>
        <v>23.29</v>
      </c>
      <c r="H805" s="48">
        <f t="shared" si="278"/>
        <v>2352.29</v>
      </c>
    </row>
    <row r="806" spans="1:8" ht="31.5" x14ac:dyDescent="0.25">
      <c r="A806" s="53" t="s">
        <v>3550</v>
      </c>
      <c r="B806" s="234">
        <v>91937</v>
      </c>
      <c r="C806" s="170" t="s">
        <v>610</v>
      </c>
      <c r="D806" s="175" t="s">
        <v>52</v>
      </c>
      <c r="E806" s="176">
        <v>330</v>
      </c>
      <c r="F806" s="145">
        <v>7.31</v>
      </c>
      <c r="G806" s="48">
        <f t="shared" si="277"/>
        <v>9.26</v>
      </c>
      <c r="H806" s="48">
        <f t="shared" si="278"/>
        <v>3055.8</v>
      </c>
    </row>
    <row r="807" spans="1:8" ht="47.25" x14ac:dyDescent="0.25">
      <c r="A807" s="53" t="s">
        <v>3551</v>
      </c>
      <c r="B807" s="234">
        <v>92000</v>
      </c>
      <c r="C807" s="170" t="s">
        <v>305</v>
      </c>
      <c r="D807" s="162" t="s">
        <v>52</v>
      </c>
      <c r="E807" s="178">
        <v>125</v>
      </c>
      <c r="F807" s="145">
        <v>16.510000000000002</v>
      </c>
      <c r="G807" s="48">
        <f t="shared" si="277"/>
        <v>20.92</v>
      </c>
      <c r="H807" s="48">
        <f t="shared" si="278"/>
        <v>2615</v>
      </c>
    </row>
    <row r="808" spans="1:8" ht="47.25" x14ac:dyDescent="0.25">
      <c r="A808" s="53" t="s">
        <v>3552</v>
      </c>
      <c r="B808" s="234">
        <v>91996</v>
      </c>
      <c r="C808" s="171" t="s">
        <v>458</v>
      </c>
      <c r="D808" s="175" t="s">
        <v>52</v>
      </c>
      <c r="E808" s="178">
        <v>27</v>
      </c>
      <c r="F808" s="145">
        <v>18.850000000000001</v>
      </c>
      <c r="G808" s="48">
        <f t="shared" si="277"/>
        <v>23.88</v>
      </c>
      <c r="H808" s="48">
        <f t="shared" si="278"/>
        <v>644.76</v>
      </c>
    </row>
    <row r="809" spans="1:8" ht="47.25" x14ac:dyDescent="0.25">
      <c r="A809" s="53" t="s">
        <v>3553</v>
      </c>
      <c r="B809" s="234">
        <v>91992</v>
      </c>
      <c r="C809" s="179" t="s">
        <v>626</v>
      </c>
      <c r="D809" s="175" t="s">
        <v>52</v>
      </c>
      <c r="E809" s="178">
        <v>49</v>
      </c>
      <c r="F809" s="145">
        <v>24.89</v>
      </c>
      <c r="G809" s="48">
        <f t="shared" si="277"/>
        <v>31.54</v>
      </c>
      <c r="H809" s="48">
        <f t="shared" si="278"/>
        <v>1545.46</v>
      </c>
    </row>
    <row r="810" spans="1:8" ht="47.25" x14ac:dyDescent="0.25">
      <c r="A810" s="53" t="s">
        <v>3554</v>
      </c>
      <c r="B810" s="234">
        <v>91993</v>
      </c>
      <c r="C810" s="180" t="s">
        <v>627</v>
      </c>
      <c r="D810" s="175" t="s">
        <v>52</v>
      </c>
      <c r="E810" s="176">
        <v>52</v>
      </c>
      <c r="F810" s="145">
        <v>26.1</v>
      </c>
      <c r="G810" s="48">
        <f t="shared" si="277"/>
        <v>33.07</v>
      </c>
      <c r="H810" s="48">
        <f t="shared" si="278"/>
        <v>1719.64</v>
      </c>
    </row>
    <row r="811" spans="1:8" ht="47.25" x14ac:dyDescent="0.25">
      <c r="A811" s="53" t="s">
        <v>3555</v>
      </c>
      <c r="B811" s="234">
        <v>91953</v>
      </c>
      <c r="C811" s="170" t="s">
        <v>306</v>
      </c>
      <c r="D811" s="175" t="s">
        <v>52</v>
      </c>
      <c r="E811" s="176">
        <v>20</v>
      </c>
      <c r="F811" s="145">
        <v>15.67</v>
      </c>
      <c r="G811" s="48">
        <f t="shared" si="277"/>
        <v>19.850000000000001</v>
      </c>
      <c r="H811" s="48">
        <f t="shared" si="278"/>
        <v>397</v>
      </c>
    </row>
    <row r="812" spans="1:8" ht="47.25" x14ac:dyDescent="0.25">
      <c r="A812" s="53" t="s">
        <v>3556</v>
      </c>
      <c r="B812" s="234">
        <v>91959</v>
      </c>
      <c r="C812" s="170" t="s">
        <v>3606</v>
      </c>
      <c r="D812" s="162" t="s">
        <v>52</v>
      </c>
      <c r="E812" s="178">
        <v>4</v>
      </c>
      <c r="F812" s="145">
        <v>24.76</v>
      </c>
      <c r="G812" s="48">
        <f t="shared" si="277"/>
        <v>31.37</v>
      </c>
      <c r="H812" s="48">
        <f t="shared" si="278"/>
        <v>125.48</v>
      </c>
    </row>
    <row r="813" spans="1:8" ht="47.25" x14ac:dyDescent="0.25">
      <c r="A813" s="53" t="s">
        <v>3557</v>
      </c>
      <c r="B813" s="234">
        <v>91967</v>
      </c>
      <c r="C813" s="171" t="s">
        <v>3607</v>
      </c>
      <c r="D813" s="175" t="s">
        <v>52</v>
      </c>
      <c r="E813" s="178">
        <v>24</v>
      </c>
      <c r="F813" s="145">
        <v>33.869999999999997</v>
      </c>
      <c r="G813" s="48">
        <f t="shared" si="277"/>
        <v>42.92</v>
      </c>
      <c r="H813" s="48">
        <f t="shared" si="278"/>
        <v>1030.08</v>
      </c>
    </row>
    <row r="814" spans="1:8" ht="63" x14ac:dyDescent="0.25">
      <c r="A814" s="53" t="s">
        <v>3558</v>
      </c>
      <c r="B814" s="234" t="s">
        <v>3608</v>
      </c>
      <c r="C814" s="179" t="s">
        <v>3609</v>
      </c>
      <c r="D814" s="175" t="s">
        <v>52</v>
      </c>
      <c r="E814" s="178">
        <v>2</v>
      </c>
      <c r="F814" s="145">
        <v>484.12</v>
      </c>
      <c r="G814" s="48">
        <f t="shared" si="277"/>
        <v>613.52</v>
      </c>
      <c r="H814" s="48">
        <f t="shared" si="278"/>
        <v>1227.04</v>
      </c>
    </row>
    <row r="815" spans="1:8" ht="63" x14ac:dyDescent="0.25">
      <c r="A815" s="53" t="s">
        <v>3559</v>
      </c>
      <c r="B815" s="234" t="s">
        <v>611</v>
      </c>
      <c r="C815" s="180" t="s">
        <v>612</v>
      </c>
      <c r="D815" s="175" t="s">
        <v>52</v>
      </c>
      <c r="E815" s="176">
        <v>2</v>
      </c>
      <c r="F815" s="145">
        <v>960.8</v>
      </c>
      <c r="G815" s="48">
        <f t="shared" si="277"/>
        <v>1217.6199999999999</v>
      </c>
      <c r="H815" s="48">
        <f t="shared" si="278"/>
        <v>2435.2399999999998</v>
      </c>
    </row>
    <row r="816" spans="1:8" ht="63" x14ac:dyDescent="0.25">
      <c r="A816" s="53" t="s">
        <v>3560</v>
      </c>
      <c r="B816" s="234" t="s">
        <v>3610</v>
      </c>
      <c r="C816" s="170" t="s">
        <v>3611</v>
      </c>
      <c r="D816" s="175" t="s">
        <v>52</v>
      </c>
      <c r="E816" s="176">
        <v>1</v>
      </c>
      <c r="F816" s="145">
        <v>789.55</v>
      </c>
      <c r="G816" s="48">
        <f t="shared" si="277"/>
        <v>1000.59</v>
      </c>
      <c r="H816" s="48">
        <f t="shared" si="278"/>
        <v>1000.59</v>
      </c>
    </row>
    <row r="817" spans="1:8" ht="63" x14ac:dyDescent="0.25">
      <c r="A817" s="53" t="s">
        <v>3561</v>
      </c>
      <c r="B817" s="234" t="s">
        <v>613</v>
      </c>
      <c r="C817" s="170" t="s">
        <v>614</v>
      </c>
      <c r="D817" s="162" t="s">
        <v>52</v>
      </c>
      <c r="E817" s="178">
        <v>1</v>
      </c>
      <c r="F817" s="145">
        <v>1170.95</v>
      </c>
      <c r="G817" s="48">
        <f t="shared" si="277"/>
        <v>1483.94</v>
      </c>
      <c r="H817" s="48">
        <f t="shared" si="278"/>
        <v>1483.94</v>
      </c>
    </row>
    <row r="818" spans="1:8" ht="63" x14ac:dyDescent="0.25">
      <c r="A818" s="53" t="s">
        <v>3562</v>
      </c>
      <c r="B818" s="234" t="s">
        <v>3612</v>
      </c>
      <c r="C818" s="171" t="s">
        <v>3613</v>
      </c>
      <c r="D818" s="175" t="s">
        <v>52</v>
      </c>
      <c r="E818" s="178">
        <v>1</v>
      </c>
      <c r="F818" s="145">
        <v>1122.19</v>
      </c>
      <c r="G818" s="48">
        <f t="shared" si="277"/>
        <v>1422.15</v>
      </c>
      <c r="H818" s="48">
        <f t="shared" si="278"/>
        <v>1422.15</v>
      </c>
    </row>
    <row r="819" spans="1:8" ht="47.25" x14ac:dyDescent="0.25">
      <c r="A819" s="53" t="s">
        <v>3563</v>
      </c>
      <c r="B819" s="234" t="s">
        <v>615</v>
      </c>
      <c r="C819" s="179" t="s">
        <v>616</v>
      </c>
      <c r="D819" s="175" t="s">
        <v>75</v>
      </c>
      <c r="E819" s="178">
        <v>3.1</v>
      </c>
      <c r="F819" s="145">
        <v>43.99</v>
      </c>
      <c r="G819" s="48">
        <f t="shared" si="277"/>
        <v>55.74</v>
      </c>
      <c r="H819" s="48">
        <f t="shared" si="278"/>
        <v>172.79</v>
      </c>
    </row>
    <row r="820" spans="1:8" ht="47.25" x14ac:dyDescent="0.25">
      <c r="A820" s="53" t="s">
        <v>3564</v>
      </c>
      <c r="B820" s="234" t="s">
        <v>617</v>
      </c>
      <c r="C820" s="180" t="s">
        <v>618</v>
      </c>
      <c r="D820" s="175" t="s">
        <v>75</v>
      </c>
      <c r="E820" s="176">
        <v>2.6</v>
      </c>
      <c r="F820" s="145">
        <v>76.17</v>
      </c>
      <c r="G820" s="48">
        <f t="shared" si="277"/>
        <v>96.53</v>
      </c>
      <c r="H820" s="48">
        <f t="shared" si="278"/>
        <v>250.97</v>
      </c>
    </row>
    <row r="821" spans="1:8" ht="31.5" x14ac:dyDescent="0.25">
      <c r="A821" s="53" t="s">
        <v>3565</v>
      </c>
      <c r="B821" s="234">
        <v>93653</v>
      </c>
      <c r="C821" s="170" t="s">
        <v>307</v>
      </c>
      <c r="D821" s="175" t="s">
        <v>52</v>
      </c>
      <c r="E821" s="176">
        <v>4</v>
      </c>
      <c r="F821" s="145">
        <v>9.56</v>
      </c>
      <c r="G821" s="48">
        <f t="shared" si="277"/>
        <v>12.11</v>
      </c>
      <c r="H821" s="48">
        <f t="shared" si="278"/>
        <v>48.44</v>
      </c>
    </row>
    <row r="822" spans="1:8" ht="31.5" x14ac:dyDescent="0.25">
      <c r="A822" s="53" t="s">
        <v>3566</v>
      </c>
      <c r="B822" s="234">
        <v>93654</v>
      </c>
      <c r="C822" s="170" t="s">
        <v>309</v>
      </c>
      <c r="D822" s="162" t="s">
        <v>52</v>
      </c>
      <c r="E822" s="178">
        <v>4</v>
      </c>
      <c r="F822" s="145">
        <v>9.98</v>
      </c>
      <c r="G822" s="48">
        <f t="shared" si="277"/>
        <v>12.64</v>
      </c>
      <c r="H822" s="48">
        <f t="shared" si="278"/>
        <v>50.56</v>
      </c>
    </row>
    <row r="823" spans="1:8" ht="31.5" x14ac:dyDescent="0.25">
      <c r="A823" s="53" t="s">
        <v>3567</v>
      </c>
      <c r="B823" s="234">
        <v>93655</v>
      </c>
      <c r="C823" s="171" t="s">
        <v>619</v>
      </c>
      <c r="D823" s="175" t="s">
        <v>52</v>
      </c>
      <c r="E823" s="178">
        <v>8</v>
      </c>
      <c r="F823" s="145">
        <v>10.71</v>
      </c>
      <c r="G823" s="48">
        <f t="shared" si="277"/>
        <v>13.57</v>
      </c>
      <c r="H823" s="48">
        <f t="shared" si="278"/>
        <v>108.56</v>
      </c>
    </row>
    <row r="824" spans="1:8" ht="31.5" x14ac:dyDescent="0.25">
      <c r="A824" s="53" t="s">
        <v>3568</v>
      </c>
      <c r="B824" s="234">
        <v>93656</v>
      </c>
      <c r="C824" s="179" t="s">
        <v>3614</v>
      </c>
      <c r="D824" s="175" t="s">
        <v>52</v>
      </c>
      <c r="E824" s="178">
        <v>6</v>
      </c>
      <c r="F824" s="145">
        <v>10.71</v>
      </c>
      <c r="G824" s="48">
        <f t="shared" si="277"/>
        <v>13.57</v>
      </c>
      <c r="H824" s="48">
        <f t="shared" si="278"/>
        <v>81.42</v>
      </c>
    </row>
    <row r="825" spans="1:8" ht="31.5" x14ac:dyDescent="0.25">
      <c r="A825" s="53" t="s">
        <v>3569</v>
      </c>
      <c r="B825" s="234">
        <v>93657</v>
      </c>
      <c r="C825" s="180" t="s">
        <v>3615</v>
      </c>
      <c r="D825" s="175" t="s">
        <v>52</v>
      </c>
      <c r="E825" s="176">
        <v>2</v>
      </c>
      <c r="F825" s="145">
        <v>11.63</v>
      </c>
      <c r="G825" s="48">
        <f t="shared" si="277"/>
        <v>14.73</v>
      </c>
      <c r="H825" s="48">
        <f t="shared" si="278"/>
        <v>29.46</v>
      </c>
    </row>
    <row r="826" spans="1:8" ht="31.5" x14ac:dyDescent="0.25">
      <c r="A826" s="53" t="s">
        <v>3570</v>
      </c>
      <c r="B826" s="234">
        <v>93660</v>
      </c>
      <c r="C826" s="170" t="s">
        <v>308</v>
      </c>
      <c r="D826" s="175" t="s">
        <v>52</v>
      </c>
      <c r="E826" s="176">
        <v>9</v>
      </c>
      <c r="F826" s="145">
        <v>48.81</v>
      </c>
      <c r="G826" s="48">
        <f t="shared" si="277"/>
        <v>61.85</v>
      </c>
      <c r="H826" s="48">
        <f t="shared" si="278"/>
        <v>556.65</v>
      </c>
    </row>
    <row r="827" spans="1:8" ht="31.5" x14ac:dyDescent="0.25">
      <c r="A827" s="53" t="s">
        <v>3571</v>
      </c>
      <c r="B827" s="234">
        <v>93661</v>
      </c>
      <c r="C827" s="170" t="s">
        <v>3616</v>
      </c>
      <c r="D827" s="162" t="s">
        <v>52</v>
      </c>
      <c r="E827" s="178">
        <v>8</v>
      </c>
      <c r="F827" s="145">
        <v>49.62</v>
      </c>
      <c r="G827" s="48">
        <f t="shared" si="277"/>
        <v>62.88</v>
      </c>
      <c r="H827" s="48">
        <f t="shared" si="278"/>
        <v>503.04</v>
      </c>
    </row>
    <row r="828" spans="1:8" ht="31.5" x14ac:dyDescent="0.25">
      <c r="A828" s="53" t="s">
        <v>3572</v>
      </c>
      <c r="B828" s="234">
        <v>93662</v>
      </c>
      <c r="C828" s="171" t="s">
        <v>3617</v>
      </c>
      <c r="D828" s="175" t="s">
        <v>52</v>
      </c>
      <c r="E828" s="178">
        <v>60</v>
      </c>
      <c r="F828" s="145">
        <v>51.14</v>
      </c>
      <c r="G828" s="48">
        <f t="shared" si="277"/>
        <v>64.8</v>
      </c>
      <c r="H828" s="48">
        <f t="shared" si="278"/>
        <v>3888</v>
      </c>
    </row>
    <row r="829" spans="1:8" ht="31.5" x14ac:dyDescent="0.25">
      <c r="A829" s="53" t="s">
        <v>3573</v>
      </c>
      <c r="B829" s="234" t="s">
        <v>3618</v>
      </c>
      <c r="C829" s="179" t="s">
        <v>3619</v>
      </c>
      <c r="D829" s="175" t="s">
        <v>52</v>
      </c>
      <c r="E829" s="178">
        <v>4</v>
      </c>
      <c r="F829" s="145">
        <v>95.09</v>
      </c>
      <c r="G829" s="48">
        <f t="shared" si="277"/>
        <v>120.5</v>
      </c>
      <c r="H829" s="48">
        <f t="shared" si="278"/>
        <v>482</v>
      </c>
    </row>
    <row r="830" spans="1:8" ht="31.5" x14ac:dyDescent="0.25">
      <c r="A830" s="53" t="s">
        <v>3574</v>
      </c>
      <c r="B830" s="234">
        <v>93672</v>
      </c>
      <c r="C830" s="180" t="s">
        <v>634</v>
      </c>
      <c r="D830" s="175" t="s">
        <v>52</v>
      </c>
      <c r="E830" s="176">
        <v>2</v>
      </c>
      <c r="F830" s="145">
        <v>71.37</v>
      </c>
      <c r="G830" s="48">
        <f t="shared" si="277"/>
        <v>90.44</v>
      </c>
      <c r="H830" s="48">
        <f t="shared" si="278"/>
        <v>180.88</v>
      </c>
    </row>
    <row r="831" spans="1:8" ht="31.5" x14ac:dyDescent="0.25">
      <c r="A831" s="53" t="s">
        <v>3575</v>
      </c>
      <c r="B831" s="234">
        <v>93673</v>
      </c>
      <c r="C831" s="170" t="s">
        <v>3620</v>
      </c>
      <c r="D831" s="175" t="s">
        <v>52</v>
      </c>
      <c r="E831" s="176">
        <v>6</v>
      </c>
      <c r="F831" s="145">
        <v>77.040000000000006</v>
      </c>
      <c r="G831" s="48">
        <f t="shared" si="277"/>
        <v>97.63</v>
      </c>
      <c r="H831" s="48">
        <f t="shared" si="278"/>
        <v>585.78</v>
      </c>
    </row>
    <row r="832" spans="1:8" ht="31.5" x14ac:dyDescent="0.25">
      <c r="A832" s="53" t="s">
        <v>3576</v>
      </c>
      <c r="B832" s="234" t="s">
        <v>3621</v>
      </c>
      <c r="C832" s="170" t="s">
        <v>3622</v>
      </c>
      <c r="D832" s="162" t="s">
        <v>52</v>
      </c>
      <c r="E832" s="178">
        <v>6</v>
      </c>
      <c r="F832" s="145">
        <v>317.48</v>
      </c>
      <c r="G832" s="48">
        <f t="shared" si="277"/>
        <v>402.34</v>
      </c>
      <c r="H832" s="48">
        <f t="shared" si="278"/>
        <v>2414.04</v>
      </c>
    </row>
    <row r="833" spans="1:8" ht="63" x14ac:dyDescent="0.25">
      <c r="A833" s="53" t="s">
        <v>3577</v>
      </c>
      <c r="B833" s="234" t="s">
        <v>3623</v>
      </c>
      <c r="C833" s="171" t="s">
        <v>3624</v>
      </c>
      <c r="D833" s="175" t="s">
        <v>52</v>
      </c>
      <c r="E833" s="178">
        <v>1</v>
      </c>
      <c r="F833" s="145">
        <v>382.53</v>
      </c>
      <c r="G833" s="48">
        <f t="shared" si="277"/>
        <v>484.78</v>
      </c>
      <c r="H833" s="48">
        <f t="shared" si="278"/>
        <v>484.78</v>
      </c>
    </row>
    <row r="834" spans="1:8" ht="47.25" x14ac:dyDescent="0.25">
      <c r="A834" s="53" t="s">
        <v>3578</v>
      </c>
      <c r="B834" s="234">
        <v>91834</v>
      </c>
      <c r="C834" s="179" t="s">
        <v>630</v>
      </c>
      <c r="D834" s="175" t="s">
        <v>75</v>
      </c>
      <c r="E834" s="178">
        <v>51</v>
      </c>
      <c r="F834" s="145">
        <v>5.26</v>
      </c>
      <c r="G834" s="48">
        <f t="shared" si="277"/>
        <v>6.66</v>
      </c>
      <c r="H834" s="48">
        <f t="shared" si="278"/>
        <v>339.66</v>
      </c>
    </row>
    <row r="835" spans="1:8" ht="47.25" x14ac:dyDescent="0.25">
      <c r="A835" s="53" t="s">
        <v>3579</v>
      </c>
      <c r="B835" s="234">
        <v>91836</v>
      </c>
      <c r="C835" s="180" t="s">
        <v>620</v>
      </c>
      <c r="D835" s="175" t="s">
        <v>75</v>
      </c>
      <c r="E835" s="176">
        <v>1686</v>
      </c>
      <c r="F835" s="145">
        <v>6.72</v>
      </c>
      <c r="G835" s="48">
        <f t="shared" si="277"/>
        <v>8.51</v>
      </c>
      <c r="H835" s="48">
        <f t="shared" si="278"/>
        <v>14347.86</v>
      </c>
    </row>
    <row r="836" spans="1:8" ht="47.25" x14ac:dyDescent="0.25">
      <c r="A836" s="53" t="s">
        <v>3580</v>
      </c>
      <c r="B836" s="234">
        <v>91854</v>
      </c>
      <c r="C836" s="170" t="s">
        <v>631</v>
      </c>
      <c r="D836" s="175" t="s">
        <v>75</v>
      </c>
      <c r="E836" s="176">
        <v>29</v>
      </c>
      <c r="F836" s="145">
        <v>5.66</v>
      </c>
      <c r="G836" s="48">
        <f t="shared" si="277"/>
        <v>7.17</v>
      </c>
      <c r="H836" s="48">
        <f t="shared" si="278"/>
        <v>207.93</v>
      </c>
    </row>
    <row r="837" spans="1:8" ht="47.25" x14ac:dyDescent="0.25">
      <c r="A837" s="53" t="s">
        <v>3581</v>
      </c>
      <c r="B837" s="234">
        <v>91856</v>
      </c>
      <c r="C837" s="170" t="s">
        <v>323</v>
      </c>
      <c r="D837" s="162" t="s">
        <v>75</v>
      </c>
      <c r="E837" s="178">
        <v>418</v>
      </c>
      <c r="F837" s="145">
        <v>7.07</v>
      </c>
      <c r="G837" s="48">
        <f t="shared" si="277"/>
        <v>8.9499999999999993</v>
      </c>
      <c r="H837" s="48">
        <f t="shared" si="278"/>
        <v>3741.1</v>
      </c>
    </row>
    <row r="838" spans="1:8" ht="63" x14ac:dyDescent="0.25">
      <c r="A838" s="53" t="s">
        <v>3582</v>
      </c>
      <c r="B838" s="234" t="s">
        <v>155</v>
      </c>
      <c r="C838" s="171" t="s">
        <v>310</v>
      </c>
      <c r="D838" s="175" t="s">
        <v>75</v>
      </c>
      <c r="E838" s="178">
        <v>245</v>
      </c>
      <c r="F838" s="145">
        <v>37.17</v>
      </c>
      <c r="G838" s="48">
        <f t="shared" si="277"/>
        <v>47.1</v>
      </c>
      <c r="H838" s="48">
        <f t="shared" si="278"/>
        <v>11539.5</v>
      </c>
    </row>
    <row r="839" spans="1:8" ht="63" x14ac:dyDescent="0.25">
      <c r="A839" s="53" t="s">
        <v>3583</v>
      </c>
      <c r="B839" s="234" t="s">
        <v>156</v>
      </c>
      <c r="C839" s="179" t="s">
        <v>311</v>
      </c>
      <c r="D839" s="175" t="s">
        <v>75</v>
      </c>
      <c r="E839" s="178">
        <v>189</v>
      </c>
      <c r="F839" s="145">
        <v>24.25</v>
      </c>
      <c r="G839" s="48">
        <f t="shared" si="277"/>
        <v>30.73</v>
      </c>
      <c r="H839" s="48">
        <f t="shared" si="278"/>
        <v>5807.97</v>
      </c>
    </row>
    <row r="840" spans="1:8" ht="47.25" x14ac:dyDescent="0.25">
      <c r="A840" s="53" t="s">
        <v>3584</v>
      </c>
      <c r="B840" s="234" t="s">
        <v>728</v>
      </c>
      <c r="C840" s="180" t="s">
        <v>729</v>
      </c>
      <c r="D840" s="175" t="s">
        <v>75</v>
      </c>
      <c r="E840" s="176">
        <v>39</v>
      </c>
      <c r="F840" s="145">
        <v>8.9700000000000006</v>
      </c>
      <c r="G840" s="48">
        <f t="shared" si="277"/>
        <v>11.36</v>
      </c>
      <c r="H840" s="48">
        <f t="shared" si="278"/>
        <v>443.04</v>
      </c>
    </row>
    <row r="841" spans="1:8" ht="47.25" x14ac:dyDescent="0.25">
      <c r="A841" s="53" t="s">
        <v>3585</v>
      </c>
      <c r="B841" s="234" t="s">
        <v>632</v>
      </c>
      <c r="C841" s="170" t="s">
        <v>633</v>
      </c>
      <c r="D841" s="175" t="s">
        <v>75</v>
      </c>
      <c r="E841" s="176">
        <v>462</v>
      </c>
      <c r="F841" s="145">
        <v>8.19</v>
      </c>
      <c r="G841" s="48">
        <f t="shared" si="277"/>
        <v>10.37</v>
      </c>
      <c r="H841" s="48">
        <f t="shared" si="278"/>
        <v>4790.9399999999996</v>
      </c>
    </row>
    <row r="842" spans="1:8" x14ac:dyDescent="0.25">
      <c r="A842" s="53" t="s">
        <v>3586</v>
      </c>
      <c r="B842" s="234">
        <v>83450</v>
      </c>
      <c r="C842" s="170" t="s">
        <v>465</v>
      </c>
      <c r="D842" s="175" t="s">
        <v>52</v>
      </c>
      <c r="E842" s="176">
        <v>1</v>
      </c>
      <c r="F842" s="145">
        <v>370.71</v>
      </c>
      <c r="G842" s="48">
        <f t="shared" ref="G842:G846" si="279">TRUNC(F842*(1+$E$3),2)</f>
        <v>469.8</v>
      </c>
      <c r="H842" s="48">
        <f t="shared" ref="H842:H846" si="280">TRUNC((G842*E842),2)</f>
        <v>469.8</v>
      </c>
    </row>
    <row r="843" spans="1:8" x14ac:dyDescent="0.25">
      <c r="A843" s="53" t="s">
        <v>3587</v>
      </c>
      <c r="B843" s="234">
        <v>83449</v>
      </c>
      <c r="C843" s="170" t="s">
        <v>312</v>
      </c>
      <c r="D843" s="162" t="s">
        <v>52</v>
      </c>
      <c r="E843" s="178">
        <v>12</v>
      </c>
      <c r="F843" s="145">
        <v>310.95</v>
      </c>
      <c r="G843" s="48">
        <f t="shared" si="279"/>
        <v>394.06</v>
      </c>
      <c r="H843" s="48">
        <f t="shared" si="280"/>
        <v>4728.72</v>
      </c>
    </row>
    <row r="844" spans="1:8" x14ac:dyDescent="0.25">
      <c r="A844" s="53" t="s">
        <v>3588</v>
      </c>
      <c r="B844" s="234">
        <v>83448</v>
      </c>
      <c r="C844" s="171" t="s">
        <v>3625</v>
      </c>
      <c r="D844" s="175" t="s">
        <v>52</v>
      </c>
      <c r="E844" s="178">
        <v>5</v>
      </c>
      <c r="F844" s="145">
        <v>220.48</v>
      </c>
      <c r="G844" s="48">
        <f t="shared" si="279"/>
        <v>279.41000000000003</v>
      </c>
      <c r="H844" s="48">
        <f t="shared" si="280"/>
        <v>1397.05</v>
      </c>
    </row>
    <row r="845" spans="1:8" x14ac:dyDescent="0.25">
      <c r="A845" s="53" t="s">
        <v>3589</v>
      </c>
      <c r="B845" s="234">
        <v>83447</v>
      </c>
      <c r="C845" s="179" t="s">
        <v>313</v>
      </c>
      <c r="D845" s="175" t="s">
        <v>52</v>
      </c>
      <c r="E845" s="178">
        <v>17</v>
      </c>
      <c r="F845" s="145">
        <v>145.87</v>
      </c>
      <c r="G845" s="48">
        <f t="shared" si="279"/>
        <v>184.86</v>
      </c>
      <c r="H845" s="48">
        <f t="shared" si="280"/>
        <v>3142.62</v>
      </c>
    </row>
    <row r="846" spans="1:8" ht="31.5" x14ac:dyDescent="0.25">
      <c r="A846" s="53" t="s">
        <v>3590</v>
      </c>
      <c r="B846" s="234">
        <v>83446</v>
      </c>
      <c r="C846" s="180" t="s">
        <v>621</v>
      </c>
      <c r="D846" s="175" t="s">
        <v>52</v>
      </c>
      <c r="E846" s="176">
        <v>4</v>
      </c>
      <c r="F846" s="145">
        <v>136.33000000000001</v>
      </c>
      <c r="G846" s="48">
        <f t="shared" si="279"/>
        <v>172.77</v>
      </c>
      <c r="H846" s="48">
        <f t="shared" si="280"/>
        <v>691.08</v>
      </c>
    </row>
    <row r="847" spans="1:8" ht="31.5" x14ac:dyDescent="0.25">
      <c r="A847" s="53" t="s">
        <v>3591</v>
      </c>
      <c r="B847" s="234" t="s">
        <v>622</v>
      </c>
      <c r="C847" s="170" t="s">
        <v>623</v>
      </c>
      <c r="D847" s="175" t="s">
        <v>52</v>
      </c>
      <c r="E847" s="176">
        <v>53</v>
      </c>
      <c r="F847" s="145">
        <v>1327.26</v>
      </c>
      <c r="G847" s="48">
        <f t="shared" ref="G847" si="281">TRUNC(F847*(1+$E$3),2)</f>
        <v>1682.03</v>
      </c>
      <c r="H847" s="48">
        <f t="shared" ref="H847" si="282">TRUNC((G847*E847),2)</f>
        <v>89147.59</v>
      </c>
    </row>
    <row r="848" spans="1:8" ht="31.5" x14ac:dyDescent="0.25">
      <c r="A848" s="53" t="s">
        <v>3592</v>
      </c>
      <c r="B848" s="234" t="s">
        <v>3626</v>
      </c>
      <c r="C848" s="170" t="s">
        <v>3627</v>
      </c>
      <c r="D848" s="162" t="s">
        <v>52</v>
      </c>
      <c r="E848" s="178">
        <v>10</v>
      </c>
      <c r="F848" s="145">
        <v>1210.75</v>
      </c>
      <c r="G848" s="48">
        <f t="shared" ref="G848:G851" si="283">TRUNC(F848*(1+$E$3),2)</f>
        <v>1534.38</v>
      </c>
      <c r="H848" s="48">
        <f t="shared" ref="H848:H851" si="284">TRUNC((G848*E848),2)</f>
        <v>15343.8</v>
      </c>
    </row>
    <row r="849" spans="1:8" ht="47.25" x14ac:dyDescent="0.25">
      <c r="A849" s="53" t="s">
        <v>3593</v>
      </c>
      <c r="B849" s="234" t="s">
        <v>624</v>
      </c>
      <c r="C849" s="171" t="s">
        <v>625</v>
      </c>
      <c r="D849" s="175" t="s">
        <v>52</v>
      </c>
      <c r="E849" s="178">
        <v>3</v>
      </c>
      <c r="F849" s="145">
        <v>1249.9100000000001</v>
      </c>
      <c r="G849" s="48">
        <f t="shared" si="283"/>
        <v>1584.01</v>
      </c>
      <c r="H849" s="48">
        <f t="shared" si="284"/>
        <v>4752.03</v>
      </c>
    </row>
    <row r="850" spans="1:8" ht="110.25" x14ac:dyDescent="0.25">
      <c r="A850" s="53" t="s">
        <v>3594</v>
      </c>
      <c r="B850" s="234">
        <v>90105</v>
      </c>
      <c r="C850" s="179" t="s">
        <v>640</v>
      </c>
      <c r="D850" s="175" t="s">
        <v>153</v>
      </c>
      <c r="E850" s="178">
        <v>161.28</v>
      </c>
      <c r="F850" s="145">
        <v>10.76</v>
      </c>
      <c r="G850" s="48">
        <f t="shared" si="283"/>
        <v>13.63</v>
      </c>
      <c r="H850" s="48">
        <f t="shared" si="284"/>
        <v>2198.2399999999998</v>
      </c>
    </row>
    <row r="851" spans="1:8" ht="94.5" x14ac:dyDescent="0.25">
      <c r="A851" s="53" t="s">
        <v>3595</v>
      </c>
      <c r="B851" s="234">
        <v>93378</v>
      </c>
      <c r="C851" s="180" t="s">
        <v>641</v>
      </c>
      <c r="D851" s="175" t="s">
        <v>153</v>
      </c>
      <c r="E851" s="176">
        <v>153.22</v>
      </c>
      <c r="F851" s="145">
        <v>16.03</v>
      </c>
      <c r="G851" s="48">
        <f t="shared" si="283"/>
        <v>20.309999999999999</v>
      </c>
      <c r="H851" s="48">
        <f t="shared" si="284"/>
        <v>3111.89</v>
      </c>
    </row>
    <row r="852" spans="1:8" x14ac:dyDescent="0.25">
      <c r="A852" s="62"/>
      <c r="B852" s="92"/>
      <c r="C852" s="90" t="s">
        <v>13</v>
      </c>
      <c r="D852" s="62"/>
      <c r="E852" s="64"/>
      <c r="F852" s="64"/>
      <c r="G852" s="65"/>
      <c r="H852" s="65">
        <f>SUM(H791:H851)</f>
        <v>388185.26999999996</v>
      </c>
    </row>
    <row r="853" spans="1:8" x14ac:dyDescent="0.25">
      <c r="A853" s="119" t="s">
        <v>74</v>
      </c>
      <c r="B853" s="53"/>
      <c r="C853" s="130" t="s">
        <v>3628</v>
      </c>
      <c r="D853" s="89"/>
      <c r="E853" s="89"/>
      <c r="F853" s="89"/>
      <c r="G853" s="56"/>
      <c r="H853" s="56"/>
    </row>
    <row r="854" spans="1:8" x14ac:dyDescent="0.25">
      <c r="A854" s="53" t="s">
        <v>3629</v>
      </c>
      <c r="B854" s="234" t="s">
        <v>3630</v>
      </c>
      <c r="C854" s="170" t="s">
        <v>3631</v>
      </c>
      <c r="D854" s="175" t="s">
        <v>52</v>
      </c>
      <c r="E854" s="158">
        <v>1</v>
      </c>
      <c r="F854" s="145">
        <v>32058.12</v>
      </c>
      <c r="G854" s="48">
        <f t="shared" ref="G854" si="285">TRUNC(F854*(1+$E$3),2)</f>
        <v>40627.25</v>
      </c>
      <c r="H854" s="48">
        <f t="shared" ref="H854" si="286">TRUNC((G854*E854),2)</f>
        <v>40627.25</v>
      </c>
    </row>
    <row r="855" spans="1:8" x14ac:dyDescent="0.25">
      <c r="A855" s="62"/>
      <c r="B855" s="92"/>
      <c r="C855" s="90" t="s">
        <v>13</v>
      </c>
      <c r="D855" s="62"/>
      <c r="E855" s="64"/>
      <c r="F855" s="64"/>
      <c r="G855" s="65"/>
      <c r="H855" s="65">
        <f>SUM(H854)</f>
        <v>40627.25</v>
      </c>
    </row>
    <row r="856" spans="1:8" x14ac:dyDescent="0.25">
      <c r="A856" s="49"/>
      <c r="B856" s="49"/>
      <c r="C856" s="50" t="s">
        <v>3632</v>
      </c>
      <c r="D856" s="49"/>
      <c r="E856" s="51"/>
      <c r="F856" s="51"/>
      <c r="G856" s="52"/>
      <c r="H856" s="52">
        <f>SUM(H855,H852)</f>
        <v>428812.51999999996</v>
      </c>
    </row>
    <row r="857" spans="1:8" x14ac:dyDescent="0.25">
      <c r="A857" s="751" t="s">
        <v>3633</v>
      </c>
      <c r="B857" s="751"/>
      <c r="C857" s="751"/>
      <c r="D857" s="751"/>
      <c r="E857" s="751"/>
      <c r="F857" s="751"/>
      <c r="G857" s="751"/>
      <c r="H857" s="751"/>
    </row>
    <row r="858" spans="1:8" x14ac:dyDescent="0.25">
      <c r="A858" s="119" t="s">
        <v>96</v>
      </c>
      <c r="B858" s="53"/>
      <c r="C858" s="346" t="s">
        <v>3633</v>
      </c>
      <c r="D858" s="238"/>
      <c r="E858" s="121"/>
      <c r="F858" s="121"/>
      <c r="G858" s="122"/>
      <c r="H858" s="122"/>
    </row>
    <row r="859" spans="1:8" x14ac:dyDescent="0.25">
      <c r="A859" s="119" t="s">
        <v>76</v>
      </c>
      <c r="B859" s="53"/>
      <c r="C859" s="130" t="s">
        <v>1045</v>
      </c>
      <c r="D859" s="119"/>
      <c r="E859" s="121"/>
      <c r="F859" s="121"/>
      <c r="G859" s="122"/>
      <c r="H859" s="122"/>
    </row>
    <row r="860" spans="1:8" ht="31.5" x14ac:dyDescent="0.25">
      <c r="A860" s="53" t="s">
        <v>3635</v>
      </c>
      <c r="B860" s="234" t="s">
        <v>425</v>
      </c>
      <c r="C860" s="170" t="s">
        <v>426</v>
      </c>
      <c r="D860" s="175" t="s">
        <v>52</v>
      </c>
      <c r="E860" s="176">
        <v>95</v>
      </c>
      <c r="F860" s="145">
        <v>72.56</v>
      </c>
      <c r="G860" s="48">
        <f t="shared" ref="G860" si="287">TRUNC(F860*(1+$E$3),2)</f>
        <v>91.95</v>
      </c>
      <c r="H860" s="48">
        <f t="shared" ref="H860" si="288">TRUNC((G860*E860),2)</f>
        <v>8735.25</v>
      </c>
    </row>
    <row r="861" spans="1:8" ht="47.25" x14ac:dyDescent="0.25">
      <c r="A861" s="53" t="s">
        <v>3636</v>
      </c>
      <c r="B861" s="234" t="s">
        <v>433</v>
      </c>
      <c r="C861" s="170" t="s">
        <v>635</v>
      </c>
      <c r="D861" s="162" t="s">
        <v>52</v>
      </c>
      <c r="E861" s="178">
        <v>13</v>
      </c>
      <c r="F861" s="145">
        <v>20.81</v>
      </c>
      <c r="G861" s="48">
        <f t="shared" ref="G861:G888" si="289">TRUNC(F861*(1+$E$3),2)</f>
        <v>26.37</v>
      </c>
      <c r="H861" s="48">
        <f t="shared" ref="H861:H888" si="290">TRUNC((G861*E861),2)</f>
        <v>342.81</v>
      </c>
    </row>
    <row r="862" spans="1:8" ht="31.5" x14ac:dyDescent="0.25">
      <c r="A862" s="53" t="s">
        <v>3637</v>
      </c>
      <c r="B862" s="234" t="s">
        <v>397</v>
      </c>
      <c r="C862" s="171" t="s">
        <v>396</v>
      </c>
      <c r="D862" s="175" t="s">
        <v>52</v>
      </c>
      <c r="E862" s="178">
        <v>569</v>
      </c>
      <c r="F862" s="145">
        <v>0.26</v>
      </c>
      <c r="G862" s="48">
        <f t="shared" si="289"/>
        <v>0.32</v>
      </c>
      <c r="H862" s="48">
        <f t="shared" si="290"/>
        <v>182.08</v>
      </c>
    </row>
    <row r="863" spans="1:8" ht="31.5" x14ac:dyDescent="0.25">
      <c r="A863" s="53" t="s">
        <v>3638</v>
      </c>
      <c r="B863" s="234">
        <v>72315</v>
      </c>
      <c r="C863" s="179" t="s">
        <v>316</v>
      </c>
      <c r="D863" s="175" t="s">
        <v>52</v>
      </c>
      <c r="E863" s="178">
        <v>250</v>
      </c>
      <c r="F863" s="145">
        <v>21.59</v>
      </c>
      <c r="G863" s="48">
        <f t="shared" si="289"/>
        <v>27.36</v>
      </c>
      <c r="H863" s="48">
        <f t="shared" si="290"/>
        <v>6840</v>
      </c>
    </row>
    <row r="864" spans="1:8" x14ac:dyDescent="0.25">
      <c r="A864" s="53" t="s">
        <v>3639</v>
      </c>
      <c r="B864" s="234" t="s">
        <v>430</v>
      </c>
      <c r="C864" s="180" t="s">
        <v>639</v>
      </c>
      <c r="D864" s="175" t="s">
        <v>52</v>
      </c>
      <c r="E864" s="176">
        <v>622</v>
      </c>
      <c r="F864" s="145">
        <v>6.34</v>
      </c>
      <c r="G864" s="48">
        <f t="shared" si="289"/>
        <v>8.0299999999999994</v>
      </c>
      <c r="H864" s="48">
        <f t="shared" si="290"/>
        <v>4994.66</v>
      </c>
    </row>
    <row r="865" spans="1:8" ht="31.5" x14ac:dyDescent="0.25">
      <c r="A865" s="53" t="s">
        <v>3640</v>
      </c>
      <c r="B865" s="234" t="s">
        <v>394</v>
      </c>
      <c r="C865" s="170" t="s">
        <v>395</v>
      </c>
      <c r="D865" s="175" t="s">
        <v>52</v>
      </c>
      <c r="E865" s="176">
        <v>57</v>
      </c>
      <c r="F865" s="145">
        <v>24.05</v>
      </c>
      <c r="G865" s="48">
        <f t="shared" si="289"/>
        <v>30.47</v>
      </c>
      <c r="H865" s="48">
        <f t="shared" si="290"/>
        <v>1736.79</v>
      </c>
    </row>
    <row r="866" spans="1:8" ht="31.5" x14ac:dyDescent="0.25">
      <c r="A866" s="53" t="s">
        <v>3641</v>
      </c>
      <c r="B866" s="234">
        <v>72262</v>
      </c>
      <c r="C866" s="170" t="s">
        <v>314</v>
      </c>
      <c r="D866" s="162" t="s">
        <v>52</v>
      </c>
      <c r="E866" s="178">
        <v>114</v>
      </c>
      <c r="F866" s="145">
        <v>13.08</v>
      </c>
      <c r="G866" s="48">
        <f t="shared" si="289"/>
        <v>16.57</v>
      </c>
      <c r="H866" s="48">
        <f t="shared" si="290"/>
        <v>1888.98</v>
      </c>
    </row>
    <row r="867" spans="1:8" ht="31.5" x14ac:dyDescent="0.25">
      <c r="A867" s="53" t="s">
        <v>3642</v>
      </c>
      <c r="B867" s="234">
        <v>72263</v>
      </c>
      <c r="C867" s="171" t="s">
        <v>315</v>
      </c>
      <c r="D867" s="175" t="s">
        <v>52</v>
      </c>
      <c r="E867" s="178">
        <v>58</v>
      </c>
      <c r="F867" s="145">
        <v>17.579999999999998</v>
      </c>
      <c r="G867" s="48">
        <f t="shared" si="289"/>
        <v>22.27</v>
      </c>
      <c r="H867" s="48">
        <f t="shared" si="290"/>
        <v>1291.6600000000001</v>
      </c>
    </row>
    <row r="868" spans="1:8" ht="47.25" x14ac:dyDescent="0.25">
      <c r="A868" s="53" t="s">
        <v>3643</v>
      </c>
      <c r="B868" s="234">
        <v>91872</v>
      </c>
      <c r="C868" s="179" t="s">
        <v>319</v>
      </c>
      <c r="D868" s="175" t="s">
        <v>75</v>
      </c>
      <c r="E868" s="178">
        <v>162</v>
      </c>
      <c r="F868" s="145">
        <v>9.36</v>
      </c>
      <c r="G868" s="48">
        <f t="shared" si="289"/>
        <v>11.86</v>
      </c>
      <c r="H868" s="48">
        <f t="shared" si="290"/>
        <v>1921.32</v>
      </c>
    </row>
    <row r="869" spans="1:8" x14ac:dyDescent="0.25">
      <c r="A869" s="53" t="s">
        <v>3644</v>
      </c>
      <c r="B869" s="234" t="s">
        <v>362</v>
      </c>
      <c r="C869" s="180" t="s">
        <v>363</v>
      </c>
      <c r="D869" s="175" t="s">
        <v>52</v>
      </c>
      <c r="E869" s="176">
        <v>216</v>
      </c>
      <c r="F869" s="145">
        <v>4.58</v>
      </c>
      <c r="G869" s="48">
        <f t="shared" si="289"/>
        <v>5.8</v>
      </c>
      <c r="H869" s="48">
        <f t="shared" si="290"/>
        <v>1252.8</v>
      </c>
    </row>
    <row r="870" spans="1:8" ht="31.5" x14ac:dyDescent="0.25">
      <c r="A870" s="53" t="s">
        <v>3645</v>
      </c>
      <c r="B870" s="234" t="s">
        <v>392</v>
      </c>
      <c r="C870" s="170" t="s">
        <v>391</v>
      </c>
      <c r="D870" s="175" t="s">
        <v>52</v>
      </c>
      <c r="E870" s="176">
        <v>216</v>
      </c>
      <c r="F870" s="145">
        <v>3.06</v>
      </c>
      <c r="G870" s="48">
        <f t="shared" si="289"/>
        <v>3.87</v>
      </c>
      <c r="H870" s="48">
        <f t="shared" si="290"/>
        <v>835.92</v>
      </c>
    </row>
    <row r="871" spans="1:8" ht="31.5" x14ac:dyDescent="0.25">
      <c r="A871" s="53" t="s">
        <v>3646</v>
      </c>
      <c r="B871" s="234">
        <v>72253</v>
      </c>
      <c r="C871" s="170" t="s">
        <v>317</v>
      </c>
      <c r="D871" s="162" t="s">
        <v>75</v>
      </c>
      <c r="E871" s="178">
        <v>742</v>
      </c>
      <c r="F871" s="145">
        <v>21.65</v>
      </c>
      <c r="G871" s="48">
        <f t="shared" si="289"/>
        <v>27.43</v>
      </c>
      <c r="H871" s="48">
        <f t="shared" si="290"/>
        <v>20353.060000000001</v>
      </c>
    </row>
    <row r="872" spans="1:8" ht="31.5" x14ac:dyDescent="0.25">
      <c r="A872" s="53" t="s">
        <v>3647</v>
      </c>
      <c r="B872" s="234">
        <v>72254</v>
      </c>
      <c r="C872" s="171" t="s">
        <v>318</v>
      </c>
      <c r="D872" s="175" t="s">
        <v>75</v>
      </c>
      <c r="E872" s="178">
        <v>787</v>
      </c>
      <c r="F872" s="145">
        <v>30.72</v>
      </c>
      <c r="G872" s="48">
        <f t="shared" si="289"/>
        <v>38.93</v>
      </c>
      <c r="H872" s="48">
        <f t="shared" si="290"/>
        <v>30637.91</v>
      </c>
    </row>
    <row r="873" spans="1:8" ht="63" x14ac:dyDescent="0.25">
      <c r="A873" s="53" t="s">
        <v>3648</v>
      </c>
      <c r="B873" s="234" t="s">
        <v>636</v>
      </c>
      <c r="C873" s="179" t="s">
        <v>393</v>
      </c>
      <c r="D873" s="175" t="s">
        <v>52</v>
      </c>
      <c r="E873" s="178">
        <v>11</v>
      </c>
      <c r="F873" s="145">
        <v>71.37</v>
      </c>
      <c r="G873" s="48">
        <f t="shared" si="289"/>
        <v>90.44</v>
      </c>
      <c r="H873" s="48">
        <f t="shared" si="290"/>
        <v>994.84</v>
      </c>
    </row>
    <row r="874" spans="1:8" ht="47.25" x14ac:dyDescent="0.25">
      <c r="A874" s="53" t="s">
        <v>3649</v>
      </c>
      <c r="B874" s="234">
        <v>83485</v>
      </c>
      <c r="C874" s="180" t="s">
        <v>638</v>
      </c>
      <c r="D874" s="175" t="s">
        <v>52</v>
      </c>
      <c r="E874" s="176">
        <v>113</v>
      </c>
      <c r="F874" s="145">
        <v>39.86</v>
      </c>
      <c r="G874" s="48">
        <f t="shared" si="289"/>
        <v>50.51</v>
      </c>
      <c r="H874" s="48">
        <f t="shared" si="290"/>
        <v>5707.63</v>
      </c>
    </row>
    <row r="875" spans="1:8" ht="31.5" x14ac:dyDescent="0.25">
      <c r="A875" s="53" t="s">
        <v>3650</v>
      </c>
      <c r="B875" s="234" t="s">
        <v>398</v>
      </c>
      <c r="C875" s="170" t="s">
        <v>637</v>
      </c>
      <c r="D875" s="175" t="s">
        <v>52</v>
      </c>
      <c r="E875" s="176">
        <v>171</v>
      </c>
      <c r="F875" s="145">
        <v>8.15</v>
      </c>
      <c r="G875" s="48">
        <f t="shared" si="289"/>
        <v>10.32</v>
      </c>
      <c r="H875" s="48">
        <f t="shared" si="290"/>
        <v>1764.72</v>
      </c>
    </row>
    <row r="876" spans="1:8" ht="110.25" x14ac:dyDescent="0.25">
      <c r="A876" s="53" t="s">
        <v>3651</v>
      </c>
      <c r="B876" s="234">
        <v>90105</v>
      </c>
      <c r="C876" s="170" t="s">
        <v>640</v>
      </c>
      <c r="D876" s="162" t="s">
        <v>153</v>
      </c>
      <c r="E876" s="178">
        <v>135.15</v>
      </c>
      <c r="F876" s="145">
        <v>10.76</v>
      </c>
      <c r="G876" s="48">
        <f t="shared" si="289"/>
        <v>13.63</v>
      </c>
      <c r="H876" s="48">
        <f t="shared" si="290"/>
        <v>1842.09</v>
      </c>
    </row>
    <row r="877" spans="1:8" ht="94.5" x14ac:dyDescent="0.25">
      <c r="A877" s="53" t="s">
        <v>3652</v>
      </c>
      <c r="B877" s="234">
        <v>93378</v>
      </c>
      <c r="C877" s="171" t="s">
        <v>641</v>
      </c>
      <c r="D877" s="175" t="s">
        <v>153</v>
      </c>
      <c r="E877" s="178">
        <v>135.15</v>
      </c>
      <c r="F877" s="145">
        <v>16.03</v>
      </c>
      <c r="G877" s="48">
        <f t="shared" si="289"/>
        <v>20.309999999999999</v>
      </c>
      <c r="H877" s="48">
        <f t="shared" si="290"/>
        <v>2744.89</v>
      </c>
    </row>
    <row r="878" spans="1:8" ht="31.5" x14ac:dyDescent="0.25">
      <c r="A878" s="53" t="s">
        <v>3653</v>
      </c>
      <c r="B878" s="234" t="s">
        <v>399</v>
      </c>
      <c r="C878" s="179" t="s">
        <v>400</v>
      </c>
      <c r="D878" s="175" t="s">
        <v>52</v>
      </c>
      <c r="E878" s="178">
        <v>1</v>
      </c>
      <c r="F878" s="145">
        <v>316.73</v>
      </c>
      <c r="G878" s="48">
        <f t="shared" si="289"/>
        <v>401.39</v>
      </c>
      <c r="H878" s="48">
        <f t="shared" si="290"/>
        <v>401.39</v>
      </c>
    </row>
    <row r="879" spans="1:8" ht="47.25" x14ac:dyDescent="0.25">
      <c r="A879" s="53" t="s">
        <v>3654</v>
      </c>
      <c r="B879" s="234">
        <v>83638</v>
      </c>
      <c r="C879" s="180" t="s">
        <v>428</v>
      </c>
      <c r="D879" s="175" t="s">
        <v>52</v>
      </c>
      <c r="E879" s="176">
        <v>1</v>
      </c>
      <c r="F879" s="145">
        <v>279.52999999999997</v>
      </c>
      <c r="G879" s="48">
        <f t="shared" si="289"/>
        <v>354.24</v>
      </c>
      <c r="H879" s="48">
        <f t="shared" si="290"/>
        <v>354.24</v>
      </c>
    </row>
    <row r="880" spans="1:8" x14ac:dyDescent="0.25">
      <c r="A880" s="53" t="s">
        <v>3655</v>
      </c>
      <c r="B880" s="234">
        <v>68070</v>
      </c>
      <c r="C880" s="170" t="s">
        <v>427</v>
      </c>
      <c r="D880" s="175" t="s">
        <v>75</v>
      </c>
      <c r="E880" s="176">
        <v>10</v>
      </c>
      <c r="F880" s="145">
        <v>48.34</v>
      </c>
      <c r="G880" s="48">
        <f t="shared" si="289"/>
        <v>61.26</v>
      </c>
      <c r="H880" s="48">
        <f t="shared" si="290"/>
        <v>612.6</v>
      </c>
    </row>
    <row r="881" spans="1:8" ht="47.25" x14ac:dyDescent="0.25">
      <c r="A881" s="53" t="s">
        <v>3656</v>
      </c>
      <c r="B881" s="234" t="s">
        <v>429</v>
      </c>
      <c r="C881" s="170" t="s">
        <v>642</v>
      </c>
      <c r="D881" s="162" t="s">
        <v>52</v>
      </c>
      <c r="E881" s="178">
        <v>1</v>
      </c>
      <c r="F881" s="145">
        <v>351.5</v>
      </c>
      <c r="G881" s="48">
        <f t="shared" si="289"/>
        <v>445.45</v>
      </c>
      <c r="H881" s="48">
        <f t="shared" si="290"/>
        <v>445.45</v>
      </c>
    </row>
    <row r="882" spans="1:8" ht="31.5" x14ac:dyDescent="0.25">
      <c r="A882" s="53" t="s">
        <v>3657</v>
      </c>
      <c r="B882" s="234" t="s">
        <v>431</v>
      </c>
      <c r="C882" s="171" t="s">
        <v>643</v>
      </c>
      <c r="D882" s="175" t="s">
        <v>52</v>
      </c>
      <c r="E882" s="178">
        <v>1</v>
      </c>
      <c r="F882" s="145">
        <v>50.06</v>
      </c>
      <c r="G882" s="48">
        <f t="shared" si="289"/>
        <v>63.44</v>
      </c>
      <c r="H882" s="48">
        <f t="shared" si="290"/>
        <v>63.44</v>
      </c>
    </row>
    <row r="883" spans="1:8" ht="47.25" x14ac:dyDescent="0.25">
      <c r="A883" s="53" t="s">
        <v>3658</v>
      </c>
      <c r="B883" s="234">
        <v>91927</v>
      </c>
      <c r="C883" s="179" t="s">
        <v>698</v>
      </c>
      <c r="D883" s="175" t="s">
        <v>75</v>
      </c>
      <c r="E883" s="178">
        <v>120</v>
      </c>
      <c r="F883" s="145">
        <v>2.74</v>
      </c>
      <c r="G883" s="48">
        <f t="shared" si="289"/>
        <v>3.47</v>
      </c>
      <c r="H883" s="48">
        <f t="shared" si="290"/>
        <v>416.4</v>
      </c>
    </row>
    <row r="884" spans="1:8" ht="31.5" x14ac:dyDescent="0.25">
      <c r="A884" s="53" t="s">
        <v>3659</v>
      </c>
      <c r="B884" s="234">
        <v>93653</v>
      </c>
      <c r="C884" s="180" t="s">
        <v>307</v>
      </c>
      <c r="D884" s="175" t="s">
        <v>52</v>
      </c>
      <c r="E884" s="176">
        <v>1</v>
      </c>
      <c r="F884" s="145">
        <v>9.56</v>
      </c>
      <c r="G884" s="48">
        <f t="shared" si="289"/>
        <v>12.11</v>
      </c>
      <c r="H884" s="48">
        <f t="shared" si="290"/>
        <v>12.11</v>
      </c>
    </row>
    <row r="885" spans="1:8" ht="47.25" x14ac:dyDescent="0.25">
      <c r="A885" s="53" t="s">
        <v>3660</v>
      </c>
      <c r="B885" s="234">
        <v>91871</v>
      </c>
      <c r="C885" s="170" t="s">
        <v>3789</v>
      </c>
      <c r="D885" s="175" t="s">
        <v>75</v>
      </c>
      <c r="E885" s="176">
        <v>40</v>
      </c>
      <c r="F885" s="145">
        <v>7.45</v>
      </c>
      <c r="G885" s="48">
        <f t="shared" si="289"/>
        <v>9.44</v>
      </c>
      <c r="H885" s="48">
        <f t="shared" si="290"/>
        <v>377.6</v>
      </c>
    </row>
    <row r="886" spans="1:8" ht="47.25" x14ac:dyDescent="0.25">
      <c r="A886" s="53" t="s">
        <v>3661</v>
      </c>
      <c r="B886" s="234">
        <v>91884</v>
      </c>
      <c r="C886" s="170" t="s">
        <v>3790</v>
      </c>
      <c r="D886" s="162" t="s">
        <v>52</v>
      </c>
      <c r="E886" s="178">
        <v>4</v>
      </c>
      <c r="F886" s="145">
        <v>5.87</v>
      </c>
      <c r="G886" s="48">
        <f t="shared" si="289"/>
        <v>7.43</v>
      </c>
      <c r="H886" s="48">
        <f t="shared" si="290"/>
        <v>29.72</v>
      </c>
    </row>
    <row r="887" spans="1:8" ht="47.25" x14ac:dyDescent="0.25">
      <c r="A887" s="53" t="s">
        <v>3662</v>
      </c>
      <c r="B887" s="234">
        <v>95779</v>
      </c>
      <c r="C887" s="171" t="s">
        <v>3791</v>
      </c>
      <c r="D887" s="175" t="s">
        <v>52</v>
      </c>
      <c r="E887" s="178">
        <v>1</v>
      </c>
      <c r="F887" s="145">
        <v>17.38</v>
      </c>
      <c r="G887" s="48">
        <f t="shared" si="289"/>
        <v>22.02</v>
      </c>
      <c r="H887" s="48">
        <f t="shared" si="290"/>
        <v>22.02</v>
      </c>
    </row>
    <row r="888" spans="1:8" ht="47.25" x14ac:dyDescent="0.25">
      <c r="A888" s="53" t="s">
        <v>3663</v>
      </c>
      <c r="B888" s="234">
        <v>91914</v>
      </c>
      <c r="C888" s="179" t="s">
        <v>432</v>
      </c>
      <c r="D888" s="175" t="s">
        <v>52</v>
      </c>
      <c r="E888" s="178">
        <v>5</v>
      </c>
      <c r="F888" s="145">
        <v>9.43</v>
      </c>
      <c r="G888" s="48">
        <f t="shared" si="289"/>
        <v>11.95</v>
      </c>
      <c r="H888" s="48">
        <f t="shared" si="290"/>
        <v>59.75</v>
      </c>
    </row>
    <row r="889" spans="1:8" x14ac:dyDescent="0.25">
      <c r="A889" s="62"/>
      <c r="B889" s="92"/>
      <c r="C889" s="90" t="s">
        <v>13</v>
      </c>
      <c r="D889" s="62"/>
      <c r="E889" s="64"/>
      <c r="F889" s="64"/>
      <c r="G889" s="65"/>
      <c r="H889" s="65">
        <f>SUM(H860:H888)</f>
        <v>96862.130000000019</v>
      </c>
    </row>
    <row r="890" spans="1:8" x14ac:dyDescent="0.25">
      <c r="A890" s="49"/>
      <c r="B890" s="49"/>
      <c r="C890" s="50" t="s">
        <v>3634</v>
      </c>
      <c r="D890" s="49"/>
      <c r="E890" s="51"/>
      <c r="F890" s="51"/>
      <c r="G890" s="52"/>
      <c r="H890" s="52">
        <f>SUM(H889)</f>
        <v>96862.130000000019</v>
      </c>
    </row>
    <row r="891" spans="1:8" x14ac:dyDescent="0.25">
      <c r="A891" s="751" t="s">
        <v>111</v>
      </c>
      <c r="B891" s="751"/>
      <c r="C891" s="751"/>
      <c r="D891" s="751"/>
      <c r="E891" s="751"/>
      <c r="F891" s="751"/>
      <c r="G891" s="751"/>
      <c r="H891" s="751"/>
    </row>
    <row r="892" spans="1:8" ht="31.5" x14ac:dyDescent="0.25">
      <c r="A892" s="119" t="s">
        <v>97</v>
      </c>
      <c r="B892" s="119"/>
      <c r="C892" s="120" t="s">
        <v>3664</v>
      </c>
      <c r="D892" s="119"/>
      <c r="E892" s="121"/>
      <c r="F892" s="121"/>
      <c r="G892" s="122"/>
      <c r="H892" s="122"/>
    </row>
    <row r="893" spans="1:8" x14ac:dyDescent="0.25">
      <c r="A893" s="119" t="s">
        <v>78</v>
      </c>
      <c r="B893" s="119"/>
      <c r="C893" s="120" t="s">
        <v>697</v>
      </c>
      <c r="D893" s="119"/>
      <c r="E893" s="121"/>
      <c r="F893" s="121"/>
      <c r="G893" s="122"/>
      <c r="H893" s="122"/>
    </row>
    <row r="894" spans="1:8" ht="31.5" x14ac:dyDescent="0.25">
      <c r="A894" s="53" t="s">
        <v>3665</v>
      </c>
      <c r="B894" s="234">
        <v>83635</v>
      </c>
      <c r="C894" s="143" t="s">
        <v>3669</v>
      </c>
      <c r="D894" s="135" t="s">
        <v>52</v>
      </c>
      <c r="E894" s="158">
        <v>9</v>
      </c>
      <c r="F894" s="145">
        <v>165.48</v>
      </c>
      <c r="G894" s="48">
        <f t="shared" ref="G894" si="291">TRUNC(F894*(1+$E$3),2)</f>
        <v>209.71</v>
      </c>
      <c r="H894" s="48">
        <f t="shared" ref="H894" si="292">TRUNC((G894*E894),2)</f>
        <v>1887.39</v>
      </c>
    </row>
    <row r="895" spans="1:8" ht="47.25" x14ac:dyDescent="0.25">
      <c r="A895" s="53" t="s">
        <v>3666</v>
      </c>
      <c r="B895" s="234" t="s">
        <v>3670</v>
      </c>
      <c r="C895" s="143" t="s">
        <v>3671</v>
      </c>
      <c r="D895" s="135" t="s">
        <v>52</v>
      </c>
      <c r="E895" s="158">
        <v>4</v>
      </c>
      <c r="F895" s="145">
        <v>146.72999999999999</v>
      </c>
      <c r="G895" s="48">
        <f t="shared" ref="G895:G897" si="293">TRUNC(F895*(1+$E$3),2)</f>
        <v>185.95</v>
      </c>
      <c r="H895" s="48">
        <f t="shared" ref="H895:H897" si="294">TRUNC((G895*E895),2)</f>
        <v>743.8</v>
      </c>
    </row>
    <row r="896" spans="1:8" ht="31.5" x14ac:dyDescent="0.25">
      <c r="A896" s="53" t="s">
        <v>3667</v>
      </c>
      <c r="B896" s="234" t="s">
        <v>364</v>
      </c>
      <c r="C896" s="143" t="s">
        <v>365</v>
      </c>
      <c r="D896" s="135" t="s">
        <v>52</v>
      </c>
      <c r="E896" s="158">
        <v>16</v>
      </c>
      <c r="F896" s="145">
        <v>17.18</v>
      </c>
      <c r="G896" s="48">
        <f t="shared" ref="G896" si="295">TRUNC(F896*(1+$E$3),2)</f>
        <v>21.77</v>
      </c>
      <c r="H896" s="48">
        <f t="shared" ref="H896" si="296">TRUNC((G896*E896),2)</f>
        <v>348.32</v>
      </c>
    </row>
    <row r="897" spans="1:8" ht="31.5" x14ac:dyDescent="0.25">
      <c r="A897" s="53" t="s">
        <v>3668</v>
      </c>
      <c r="B897" s="234">
        <v>84665</v>
      </c>
      <c r="C897" s="143" t="s">
        <v>2825</v>
      </c>
      <c r="D897" s="135" t="s">
        <v>77</v>
      </c>
      <c r="E897" s="158">
        <v>20</v>
      </c>
      <c r="F897" s="145">
        <v>15.68</v>
      </c>
      <c r="G897" s="48">
        <f t="shared" si="293"/>
        <v>19.87</v>
      </c>
      <c r="H897" s="48">
        <f t="shared" si="294"/>
        <v>397.4</v>
      </c>
    </row>
    <row r="898" spans="1:8" x14ac:dyDescent="0.25">
      <c r="A898" s="62"/>
      <c r="B898" s="62"/>
      <c r="C898" s="63" t="s">
        <v>13</v>
      </c>
      <c r="D898" s="62"/>
      <c r="E898" s="64"/>
      <c r="F898" s="64"/>
      <c r="G898" s="65"/>
      <c r="H898" s="65">
        <f>SUM(H894:H897)</f>
        <v>3376.9100000000003</v>
      </c>
    </row>
    <row r="899" spans="1:8" x14ac:dyDescent="0.25">
      <c r="A899" s="119" t="s">
        <v>80</v>
      </c>
      <c r="B899" s="119"/>
      <c r="C899" s="120" t="s">
        <v>112</v>
      </c>
      <c r="D899" s="119"/>
      <c r="E899" s="121"/>
      <c r="F899" s="121"/>
      <c r="G899" s="122"/>
      <c r="H899" s="122"/>
    </row>
    <row r="900" spans="1:8" ht="47.25" x14ac:dyDescent="0.25">
      <c r="A900" s="53" t="s">
        <v>3672</v>
      </c>
      <c r="B900" s="135" t="s">
        <v>366</v>
      </c>
      <c r="C900" s="143" t="s">
        <v>367</v>
      </c>
      <c r="D900" s="135" t="s">
        <v>52</v>
      </c>
      <c r="E900" s="144">
        <v>60</v>
      </c>
      <c r="F900" s="145">
        <v>24.48</v>
      </c>
      <c r="G900" s="48">
        <f t="shared" ref="G900" si="297">TRUNC(F900*(1+$E$3),2)</f>
        <v>31.02</v>
      </c>
      <c r="H900" s="48">
        <f t="shared" ref="H900" si="298">TRUNC((G900*E900),2)</f>
        <v>1861.2</v>
      </c>
    </row>
    <row r="901" spans="1:8" ht="63" x14ac:dyDescent="0.25">
      <c r="A901" s="53" t="s">
        <v>3673</v>
      </c>
      <c r="B901" s="135" t="s">
        <v>368</v>
      </c>
      <c r="C901" s="143" t="s">
        <v>369</v>
      </c>
      <c r="D901" s="135" t="s">
        <v>52</v>
      </c>
      <c r="E901" s="144">
        <v>5</v>
      </c>
      <c r="F901" s="145">
        <v>34.549999999999997</v>
      </c>
      <c r="G901" s="48">
        <f t="shared" ref="G901" si="299">TRUNC(F901*(1+$E$3),2)</f>
        <v>43.78</v>
      </c>
      <c r="H901" s="48">
        <f t="shared" ref="H901" si="300">TRUNC((G901*E901),2)</f>
        <v>218.9</v>
      </c>
    </row>
    <row r="902" spans="1:8" x14ac:dyDescent="0.25">
      <c r="A902" s="62"/>
      <c r="B902" s="62"/>
      <c r="C902" s="63" t="s">
        <v>13</v>
      </c>
      <c r="D902" s="62"/>
      <c r="E902" s="64"/>
      <c r="F902" s="64"/>
      <c r="G902" s="65"/>
      <c r="H902" s="65">
        <f>SUM(H900:H901)</f>
        <v>2080.1</v>
      </c>
    </row>
    <row r="903" spans="1:8" x14ac:dyDescent="0.25">
      <c r="A903" s="119" t="s">
        <v>81</v>
      </c>
      <c r="B903" s="119"/>
      <c r="C903" s="120" t="s">
        <v>1095</v>
      </c>
      <c r="D903" s="119"/>
      <c r="E903" s="121"/>
      <c r="F903" s="121"/>
      <c r="G903" s="122"/>
      <c r="H903" s="122"/>
    </row>
    <row r="904" spans="1:8" ht="31.5" x14ac:dyDescent="0.25">
      <c r="A904" s="53" t="s">
        <v>3674</v>
      </c>
      <c r="B904" s="150" t="s">
        <v>370</v>
      </c>
      <c r="C904" s="153" t="s">
        <v>371</v>
      </c>
      <c r="D904" s="150" t="s">
        <v>52</v>
      </c>
      <c r="E904" s="144">
        <v>6</v>
      </c>
      <c r="F904" s="159">
        <v>79.41</v>
      </c>
      <c r="G904" s="48">
        <f t="shared" ref="G904" si="301">TRUNC(F904*(1+$E$3),2)</f>
        <v>100.63</v>
      </c>
      <c r="H904" s="48">
        <f t="shared" ref="H904" si="302">TRUNC((G904*E904),2)</f>
        <v>603.78</v>
      </c>
    </row>
    <row r="905" spans="1:8" ht="31.5" x14ac:dyDescent="0.25">
      <c r="A905" s="53" t="s">
        <v>3685</v>
      </c>
      <c r="B905" s="150" t="s">
        <v>372</v>
      </c>
      <c r="C905" s="153" t="s">
        <v>373</v>
      </c>
      <c r="D905" s="150" t="s">
        <v>52</v>
      </c>
      <c r="E905" s="144">
        <v>6</v>
      </c>
      <c r="F905" s="159">
        <v>39.78</v>
      </c>
      <c r="G905" s="48">
        <f t="shared" ref="G905:G923" si="303">TRUNC(F905*(1+$E$3),2)</f>
        <v>50.41</v>
      </c>
      <c r="H905" s="48">
        <f t="shared" ref="H905:H923" si="304">TRUNC((G905*E905),2)</f>
        <v>302.45999999999998</v>
      </c>
    </row>
    <row r="906" spans="1:8" ht="31.5" x14ac:dyDescent="0.25">
      <c r="A906" s="53" t="s">
        <v>3686</v>
      </c>
      <c r="B906" s="150" t="s">
        <v>374</v>
      </c>
      <c r="C906" s="153" t="s">
        <v>375</v>
      </c>
      <c r="D906" s="150" t="s">
        <v>52</v>
      </c>
      <c r="E906" s="144">
        <v>1</v>
      </c>
      <c r="F906" s="159">
        <v>596.65</v>
      </c>
      <c r="G906" s="48">
        <f t="shared" si="303"/>
        <v>756.13</v>
      </c>
      <c r="H906" s="48">
        <f t="shared" si="304"/>
        <v>756.13</v>
      </c>
    </row>
    <row r="907" spans="1:8" ht="31.5" x14ac:dyDescent="0.25">
      <c r="A907" s="53" t="s">
        <v>3687</v>
      </c>
      <c r="B907" s="150" t="s">
        <v>376</v>
      </c>
      <c r="C907" s="153" t="s">
        <v>377</v>
      </c>
      <c r="D907" s="150" t="s">
        <v>52</v>
      </c>
      <c r="E907" s="144">
        <v>2</v>
      </c>
      <c r="F907" s="159">
        <v>227.85</v>
      </c>
      <c r="G907" s="48">
        <f t="shared" si="303"/>
        <v>288.75</v>
      </c>
      <c r="H907" s="48">
        <f t="shared" si="304"/>
        <v>577.5</v>
      </c>
    </row>
    <row r="908" spans="1:8" ht="47.25" x14ac:dyDescent="0.25">
      <c r="A908" s="53" t="s">
        <v>3688</v>
      </c>
      <c r="B908" s="234">
        <v>91927</v>
      </c>
      <c r="C908" s="143" t="s">
        <v>698</v>
      </c>
      <c r="D908" s="135" t="s">
        <v>75</v>
      </c>
      <c r="E908" s="144">
        <v>2065</v>
      </c>
      <c r="F908" s="145">
        <v>2.74</v>
      </c>
      <c r="G908" s="48">
        <f t="shared" si="303"/>
        <v>3.47</v>
      </c>
      <c r="H908" s="48">
        <f t="shared" si="304"/>
        <v>7165.55</v>
      </c>
    </row>
    <row r="909" spans="1:8" ht="47.25" x14ac:dyDescent="0.25">
      <c r="A909" s="53" t="s">
        <v>3689</v>
      </c>
      <c r="B909" s="234">
        <v>91856</v>
      </c>
      <c r="C909" s="143" t="s">
        <v>323</v>
      </c>
      <c r="D909" s="135" t="s">
        <v>75</v>
      </c>
      <c r="E909" s="144">
        <v>25</v>
      </c>
      <c r="F909" s="145">
        <v>7.07</v>
      </c>
      <c r="G909" s="48">
        <f t="shared" si="303"/>
        <v>8.9499999999999993</v>
      </c>
      <c r="H909" s="48">
        <f t="shared" si="304"/>
        <v>223.75</v>
      </c>
    </row>
    <row r="910" spans="1:8" ht="31.5" x14ac:dyDescent="0.25">
      <c r="A910" s="53" t="s">
        <v>3690</v>
      </c>
      <c r="B910" s="135" t="s">
        <v>3675</v>
      </c>
      <c r="C910" s="143" t="s">
        <v>3676</v>
      </c>
      <c r="D910" s="135" t="s">
        <v>75</v>
      </c>
      <c r="E910" s="144">
        <v>36</v>
      </c>
      <c r="F910" s="145">
        <v>14.37</v>
      </c>
      <c r="G910" s="48">
        <f t="shared" si="303"/>
        <v>18.21</v>
      </c>
      <c r="H910" s="48">
        <f t="shared" si="304"/>
        <v>655.56</v>
      </c>
    </row>
    <row r="911" spans="1:8" x14ac:dyDescent="0.25">
      <c r="A911" s="53" t="s">
        <v>3691</v>
      </c>
      <c r="B911" s="135" t="s">
        <v>3677</v>
      </c>
      <c r="C911" s="143" t="s">
        <v>3678</v>
      </c>
      <c r="D911" s="135" t="s">
        <v>52</v>
      </c>
      <c r="E911" s="144">
        <v>12</v>
      </c>
      <c r="F911" s="145">
        <v>4</v>
      </c>
      <c r="G911" s="48">
        <f t="shared" si="303"/>
        <v>5.0599999999999996</v>
      </c>
      <c r="H911" s="48">
        <f t="shared" si="304"/>
        <v>60.72</v>
      </c>
    </row>
    <row r="912" spans="1:8" x14ac:dyDescent="0.25">
      <c r="A912" s="53" t="s">
        <v>3692</v>
      </c>
      <c r="B912" s="135" t="s">
        <v>701</v>
      </c>
      <c r="C912" s="143" t="s">
        <v>702</v>
      </c>
      <c r="D912" s="135" t="s">
        <v>52</v>
      </c>
      <c r="E912" s="144">
        <v>25</v>
      </c>
      <c r="F912" s="145">
        <v>4.13</v>
      </c>
      <c r="G912" s="48">
        <f t="shared" si="303"/>
        <v>5.23</v>
      </c>
      <c r="H912" s="48">
        <f t="shared" si="304"/>
        <v>130.75</v>
      </c>
    </row>
    <row r="913" spans="1:8" x14ac:dyDescent="0.25">
      <c r="A913" s="53" t="s">
        <v>3693</v>
      </c>
      <c r="B913" s="135" t="s">
        <v>703</v>
      </c>
      <c r="C913" s="143" t="s">
        <v>704</v>
      </c>
      <c r="D913" s="135" t="s">
        <v>52</v>
      </c>
      <c r="E913" s="144">
        <v>8</v>
      </c>
      <c r="F913" s="145">
        <v>14.42</v>
      </c>
      <c r="G913" s="48">
        <f t="shared" si="303"/>
        <v>18.27</v>
      </c>
      <c r="H913" s="48">
        <f t="shared" si="304"/>
        <v>146.16</v>
      </c>
    </row>
    <row r="914" spans="1:8" ht="31.5" x14ac:dyDescent="0.25">
      <c r="A914" s="53" t="s">
        <v>3694</v>
      </c>
      <c r="B914" s="135" t="s">
        <v>3679</v>
      </c>
      <c r="C914" s="143" t="s">
        <v>3680</v>
      </c>
      <c r="D914" s="135" t="s">
        <v>52</v>
      </c>
      <c r="E914" s="144">
        <v>36</v>
      </c>
      <c r="F914" s="145">
        <v>4.5199999999999996</v>
      </c>
      <c r="G914" s="48">
        <f t="shared" si="303"/>
        <v>5.72</v>
      </c>
      <c r="H914" s="48">
        <f t="shared" si="304"/>
        <v>205.92</v>
      </c>
    </row>
    <row r="915" spans="1:8" x14ac:dyDescent="0.25">
      <c r="A915" s="53" t="s">
        <v>3695</v>
      </c>
      <c r="B915" s="135" t="s">
        <v>362</v>
      </c>
      <c r="C915" s="143" t="s">
        <v>363</v>
      </c>
      <c r="D915" s="135" t="s">
        <v>52</v>
      </c>
      <c r="E915" s="144">
        <v>75</v>
      </c>
      <c r="F915" s="145">
        <v>4.58</v>
      </c>
      <c r="G915" s="48">
        <f t="shared" si="303"/>
        <v>5.8</v>
      </c>
      <c r="H915" s="48">
        <f t="shared" si="304"/>
        <v>435</v>
      </c>
    </row>
    <row r="916" spans="1:8" ht="47.25" x14ac:dyDescent="0.25">
      <c r="A916" s="53" t="s">
        <v>3696</v>
      </c>
      <c r="B916" s="234">
        <v>91940</v>
      </c>
      <c r="C916" s="143" t="s">
        <v>320</v>
      </c>
      <c r="D916" s="135" t="s">
        <v>52</v>
      </c>
      <c r="E916" s="144">
        <v>25</v>
      </c>
      <c r="F916" s="145">
        <v>9.7899999999999991</v>
      </c>
      <c r="G916" s="48">
        <f t="shared" si="303"/>
        <v>12.4</v>
      </c>
      <c r="H916" s="48">
        <f t="shared" si="304"/>
        <v>310</v>
      </c>
    </row>
    <row r="917" spans="1:8" ht="31.5" x14ac:dyDescent="0.25">
      <c r="A917" s="53" t="s">
        <v>3697</v>
      </c>
      <c r="B917" s="135" t="s">
        <v>388</v>
      </c>
      <c r="C917" s="143" t="s">
        <v>423</v>
      </c>
      <c r="D917" s="135" t="s">
        <v>52</v>
      </c>
      <c r="E917" s="144">
        <v>2</v>
      </c>
      <c r="F917" s="145">
        <v>25.66</v>
      </c>
      <c r="G917" s="48">
        <f t="shared" si="303"/>
        <v>32.51</v>
      </c>
      <c r="H917" s="48">
        <f t="shared" si="304"/>
        <v>65.02</v>
      </c>
    </row>
    <row r="918" spans="1:8" ht="63" x14ac:dyDescent="0.25">
      <c r="A918" s="53" t="s">
        <v>3698</v>
      </c>
      <c r="B918" s="135" t="s">
        <v>378</v>
      </c>
      <c r="C918" s="143" t="s">
        <v>379</v>
      </c>
      <c r="D918" s="135" t="s">
        <v>52</v>
      </c>
      <c r="E918" s="144">
        <v>8</v>
      </c>
      <c r="F918" s="145">
        <v>21.4</v>
      </c>
      <c r="G918" s="48">
        <f t="shared" si="303"/>
        <v>27.12</v>
      </c>
      <c r="H918" s="48">
        <f t="shared" si="304"/>
        <v>216.96</v>
      </c>
    </row>
    <row r="919" spans="1:8" ht="31.5" x14ac:dyDescent="0.25">
      <c r="A919" s="53" t="s">
        <v>3699</v>
      </c>
      <c r="B919" s="135" t="s">
        <v>3681</v>
      </c>
      <c r="C919" s="170" t="s">
        <v>3682</v>
      </c>
      <c r="D919" s="135" t="s">
        <v>52</v>
      </c>
      <c r="E919" s="144">
        <v>38</v>
      </c>
      <c r="F919" s="145">
        <v>3.53</v>
      </c>
      <c r="G919" s="48">
        <f t="shared" si="303"/>
        <v>4.47</v>
      </c>
      <c r="H919" s="48">
        <f t="shared" si="304"/>
        <v>169.86</v>
      </c>
    </row>
    <row r="920" spans="1:8" ht="47.25" x14ac:dyDescent="0.25">
      <c r="A920" s="53" t="s">
        <v>3700</v>
      </c>
      <c r="B920" s="234">
        <v>95818</v>
      </c>
      <c r="C920" s="143" t="s">
        <v>705</v>
      </c>
      <c r="D920" s="135" t="s">
        <v>52</v>
      </c>
      <c r="E920" s="144">
        <v>30</v>
      </c>
      <c r="F920" s="145">
        <v>27.8</v>
      </c>
      <c r="G920" s="48">
        <f t="shared" si="303"/>
        <v>35.229999999999997</v>
      </c>
      <c r="H920" s="48">
        <f t="shared" si="304"/>
        <v>1056.9000000000001</v>
      </c>
    </row>
    <row r="921" spans="1:8" ht="31.5" x14ac:dyDescent="0.25">
      <c r="A921" s="53" t="s">
        <v>3701</v>
      </c>
      <c r="B921" s="135" t="s">
        <v>3683</v>
      </c>
      <c r="C921" s="143" t="s">
        <v>3684</v>
      </c>
      <c r="D921" s="135" t="s">
        <v>52</v>
      </c>
      <c r="E921" s="144">
        <v>25</v>
      </c>
      <c r="F921" s="145">
        <v>4</v>
      </c>
      <c r="G921" s="48">
        <f t="shared" si="303"/>
        <v>5.0599999999999996</v>
      </c>
      <c r="H921" s="48">
        <f t="shared" si="304"/>
        <v>126.5</v>
      </c>
    </row>
    <row r="922" spans="1:8" ht="31.5" x14ac:dyDescent="0.25">
      <c r="A922" s="53" t="s">
        <v>3702</v>
      </c>
      <c r="B922" s="135" t="s">
        <v>706</v>
      </c>
      <c r="C922" s="143" t="s">
        <v>707</v>
      </c>
      <c r="D922" s="135" t="s">
        <v>52</v>
      </c>
      <c r="E922" s="144">
        <v>25</v>
      </c>
      <c r="F922" s="145">
        <v>5.0599999999999996</v>
      </c>
      <c r="G922" s="48">
        <f t="shared" si="303"/>
        <v>6.41</v>
      </c>
      <c r="H922" s="48">
        <f t="shared" si="304"/>
        <v>160.25</v>
      </c>
    </row>
    <row r="923" spans="1:8" ht="63" x14ac:dyDescent="0.25">
      <c r="A923" s="53" t="s">
        <v>3703</v>
      </c>
      <c r="B923" s="135" t="s">
        <v>467</v>
      </c>
      <c r="C923" s="170" t="s">
        <v>521</v>
      </c>
      <c r="D923" s="135" t="s">
        <v>77</v>
      </c>
      <c r="E923" s="144">
        <v>18</v>
      </c>
      <c r="F923" s="145">
        <v>14.07</v>
      </c>
      <c r="G923" s="48">
        <f t="shared" si="303"/>
        <v>17.829999999999998</v>
      </c>
      <c r="H923" s="48">
        <f t="shared" si="304"/>
        <v>320.94</v>
      </c>
    </row>
    <row r="924" spans="1:8" x14ac:dyDescent="0.25">
      <c r="A924" s="62"/>
      <c r="B924" s="62"/>
      <c r="C924" s="63" t="s">
        <v>13</v>
      </c>
      <c r="D924" s="62"/>
      <c r="E924" s="64"/>
      <c r="F924" s="64"/>
      <c r="G924" s="65"/>
      <c r="H924" s="65">
        <f>SUM(H904:H923)</f>
        <v>13689.71</v>
      </c>
    </row>
    <row r="925" spans="1:8" x14ac:dyDescent="0.25">
      <c r="A925" s="119" t="s">
        <v>91</v>
      </c>
      <c r="B925" s="119"/>
      <c r="C925" s="120" t="s">
        <v>708</v>
      </c>
      <c r="D925" s="119"/>
      <c r="E925" s="121"/>
      <c r="F925" s="121"/>
      <c r="G925" s="122"/>
      <c r="H925" s="122"/>
    </row>
    <row r="926" spans="1:8" ht="31.5" x14ac:dyDescent="0.25">
      <c r="A926" s="53" t="s">
        <v>3704</v>
      </c>
      <c r="B926" s="235">
        <v>72288</v>
      </c>
      <c r="C926" s="153" t="s">
        <v>709</v>
      </c>
      <c r="D926" s="135" t="s">
        <v>52</v>
      </c>
      <c r="E926" s="158">
        <v>5</v>
      </c>
      <c r="F926" s="159">
        <v>277.98</v>
      </c>
      <c r="G926" s="48">
        <f t="shared" ref="G926" si="305">TRUNC(F926*(1+$E$3),2)</f>
        <v>352.28</v>
      </c>
      <c r="H926" s="48">
        <f t="shared" ref="H926" si="306">TRUNC((G926*E926),2)</f>
        <v>1761.4</v>
      </c>
    </row>
    <row r="927" spans="1:8" ht="47.25" x14ac:dyDescent="0.25">
      <c r="A927" s="53" t="s">
        <v>3705</v>
      </c>
      <c r="B927" s="235">
        <v>92346</v>
      </c>
      <c r="C927" s="153" t="s">
        <v>710</v>
      </c>
      <c r="D927" s="135" t="s">
        <v>52</v>
      </c>
      <c r="E927" s="158">
        <v>9</v>
      </c>
      <c r="F927" s="159">
        <v>55.88</v>
      </c>
      <c r="G927" s="48">
        <f t="shared" ref="G927:G932" si="307">TRUNC(F927*(1+$E$3),2)</f>
        <v>70.81</v>
      </c>
      <c r="H927" s="48">
        <f t="shared" ref="H927:H932" si="308">TRUNC((G927*E927),2)</f>
        <v>637.29</v>
      </c>
    </row>
    <row r="928" spans="1:8" ht="63" x14ac:dyDescent="0.25">
      <c r="A928" s="53" t="s">
        <v>3706</v>
      </c>
      <c r="B928" s="150" t="s">
        <v>380</v>
      </c>
      <c r="C928" s="153" t="s">
        <v>711</v>
      </c>
      <c r="D928" s="135" t="s">
        <v>52</v>
      </c>
      <c r="E928" s="158">
        <v>5</v>
      </c>
      <c r="F928" s="159">
        <v>186.64</v>
      </c>
      <c r="G928" s="48">
        <f t="shared" si="307"/>
        <v>236.52</v>
      </c>
      <c r="H928" s="48">
        <f t="shared" si="308"/>
        <v>1182.5999999999999</v>
      </c>
    </row>
    <row r="929" spans="1:8" ht="31.5" x14ac:dyDescent="0.25">
      <c r="A929" s="53" t="s">
        <v>3707</v>
      </c>
      <c r="B929" s="234" t="s">
        <v>3744</v>
      </c>
      <c r="C929" s="143" t="s">
        <v>3745</v>
      </c>
      <c r="D929" s="135" t="s">
        <v>52</v>
      </c>
      <c r="E929" s="144">
        <v>4</v>
      </c>
      <c r="F929" s="145">
        <v>658.86</v>
      </c>
      <c r="G929" s="48">
        <f t="shared" si="307"/>
        <v>834.97</v>
      </c>
      <c r="H929" s="48">
        <f t="shared" si="308"/>
        <v>3339.88</v>
      </c>
    </row>
    <row r="930" spans="1:8" ht="47.25" x14ac:dyDescent="0.25">
      <c r="A930" s="53" t="s">
        <v>3708</v>
      </c>
      <c r="B930" s="135" t="s">
        <v>712</v>
      </c>
      <c r="C930" s="143" t="s">
        <v>713</v>
      </c>
      <c r="D930" s="135" t="s">
        <v>52</v>
      </c>
      <c r="E930" s="144">
        <v>5</v>
      </c>
      <c r="F930" s="145">
        <v>163.21</v>
      </c>
      <c r="G930" s="48">
        <f t="shared" si="307"/>
        <v>206.83</v>
      </c>
      <c r="H930" s="48">
        <f t="shared" si="308"/>
        <v>1034.1500000000001</v>
      </c>
    </row>
    <row r="931" spans="1:8" ht="31.5" x14ac:dyDescent="0.25">
      <c r="A931" s="53" t="s">
        <v>3709</v>
      </c>
      <c r="B931" s="135" t="s">
        <v>714</v>
      </c>
      <c r="C931" s="143" t="s">
        <v>715</v>
      </c>
      <c r="D931" s="135" t="s">
        <v>52</v>
      </c>
      <c r="E931" s="144">
        <v>4</v>
      </c>
      <c r="F931" s="145">
        <v>85.94</v>
      </c>
      <c r="G931" s="48">
        <f t="shared" si="307"/>
        <v>108.91</v>
      </c>
      <c r="H931" s="48">
        <f t="shared" si="308"/>
        <v>435.64</v>
      </c>
    </row>
    <row r="932" spans="1:8" ht="47.25" x14ac:dyDescent="0.25">
      <c r="A932" s="53" t="s">
        <v>3710</v>
      </c>
      <c r="B932" s="150" t="s">
        <v>716</v>
      </c>
      <c r="C932" s="153" t="s">
        <v>717</v>
      </c>
      <c r="D932" s="150" t="s">
        <v>52</v>
      </c>
      <c r="E932" s="158">
        <v>4</v>
      </c>
      <c r="F932" s="159">
        <v>15.43</v>
      </c>
      <c r="G932" s="48">
        <f t="shared" si="307"/>
        <v>19.55</v>
      </c>
      <c r="H932" s="48">
        <f t="shared" si="308"/>
        <v>78.2</v>
      </c>
    </row>
    <row r="933" spans="1:8" ht="31.5" x14ac:dyDescent="0.25">
      <c r="A933" s="53" t="s">
        <v>3711</v>
      </c>
      <c r="B933" s="235">
        <v>72287</v>
      </c>
      <c r="C933" s="153" t="s">
        <v>468</v>
      </c>
      <c r="D933" s="150" t="s">
        <v>52</v>
      </c>
      <c r="E933" s="158">
        <v>1</v>
      </c>
      <c r="F933" s="159">
        <v>223.08</v>
      </c>
      <c r="G933" s="48">
        <f t="shared" ref="G933" si="309">TRUNC(F933*(1+$E$3),2)</f>
        <v>282.7</v>
      </c>
      <c r="H933" s="48">
        <f t="shared" ref="H933" si="310">TRUNC((G933*E933),2)</f>
        <v>282.7</v>
      </c>
    </row>
    <row r="934" spans="1:8" x14ac:dyDescent="0.25">
      <c r="A934" s="53" t="s">
        <v>3712</v>
      </c>
      <c r="B934" s="150" t="s">
        <v>718</v>
      </c>
      <c r="C934" s="153" t="s">
        <v>719</v>
      </c>
      <c r="D934" s="150" t="s">
        <v>60</v>
      </c>
      <c r="E934" s="158">
        <v>4</v>
      </c>
      <c r="F934" s="159">
        <v>66.290000000000006</v>
      </c>
      <c r="G934" s="48">
        <f t="shared" ref="G934:G936" si="311">TRUNC(F934*(1+$E$3),2)</f>
        <v>84</v>
      </c>
      <c r="H934" s="48">
        <f t="shared" ref="H934:H936" si="312">TRUNC((G934*E934),2)</f>
        <v>336</v>
      </c>
    </row>
    <row r="935" spans="1:8" ht="47.25" x14ac:dyDescent="0.25">
      <c r="A935" s="53" t="s">
        <v>3713</v>
      </c>
      <c r="B935" s="234">
        <v>92346</v>
      </c>
      <c r="C935" s="143" t="s">
        <v>710</v>
      </c>
      <c r="D935" s="150" t="s">
        <v>52</v>
      </c>
      <c r="E935" s="144">
        <v>11</v>
      </c>
      <c r="F935" s="159">
        <v>55.88</v>
      </c>
      <c r="G935" s="48">
        <f t="shared" si="311"/>
        <v>70.81</v>
      </c>
      <c r="H935" s="48">
        <f t="shared" si="312"/>
        <v>778.91</v>
      </c>
    </row>
    <row r="936" spans="1:8" ht="47.25" x14ac:dyDescent="0.25">
      <c r="A936" s="53" t="s">
        <v>3714</v>
      </c>
      <c r="B936" s="135" t="s">
        <v>712</v>
      </c>
      <c r="C936" s="143" t="s">
        <v>713</v>
      </c>
      <c r="D936" s="150" t="s">
        <v>52</v>
      </c>
      <c r="E936" s="144">
        <v>5</v>
      </c>
      <c r="F936" s="159">
        <v>163.21</v>
      </c>
      <c r="G936" s="48">
        <f t="shared" si="311"/>
        <v>206.83</v>
      </c>
      <c r="H936" s="48">
        <f t="shared" si="312"/>
        <v>1034.1500000000001</v>
      </c>
    </row>
    <row r="937" spans="1:8" ht="31.5" x14ac:dyDescent="0.25">
      <c r="A937" s="53" t="s">
        <v>3715</v>
      </c>
      <c r="B937" s="135" t="s">
        <v>720</v>
      </c>
      <c r="C937" s="143" t="s">
        <v>721</v>
      </c>
      <c r="D937" s="135" t="s">
        <v>60</v>
      </c>
      <c r="E937" s="144">
        <v>4</v>
      </c>
      <c r="F937" s="145">
        <v>164.08</v>
      </c>
      <c r="G937" s="48">
        <f t="shared" ref="G937" si="313">TRUNC(F937*(1+$E$3),2)</f>
        <v>207.93</v>
      </c>
      <c r="H937" s="48">
        <f t="shared" ref="H937" si="314">TRUNC((G937*E937),2)</f>
        <v>831.72</v>
      </c>
    </row>
    <row r="938" spans="1:8" ht="31.5" x14ac:dyDescent="0.25">
      <c r="A938" s="53" t="s">
        <v>3716</v>
      </c>
      <c r="B938" s="135" t="s">
        <v>160</v>
      </c>
      <c r="C938" s="143" t="s">
        <v>321</v>
      </c>
      <c r="D938" s="135" t="s">
        <v>52</v>
      </c>
      <c r="E938" s="144">
        <v>1</v>
      </c>
      <c r="F938" s="145">
        <v>357.52</v>
      </c>
      <c r="G938" s="48">
        <f t="shared" ref="G938:G965" si="315">TRUNC(F938*(1+$E$3),2)</f>
        <v>453.08</v>
      </c>
      <c r="H938" s="48">
        <f t="shared" ref="H938:H965" si="316">TRUNC((G938*E938),2)</f>
        <v>453.08</v>
      </c>
    </row>
    <row r="939" spans="1:8" ht="31.5" x14ac:dyDescent="0.25">
      <c r="A939" s="53" t="s">
        <v>3717</v>
      </c>
      <c r="B939" s="135" t="s">
        <v>722</v>
      </c>
      <c r="C939" s="143" t="s">
        <v>723</v>
      </c>
      <c r="D939" s="135" t="s">
        <v>52</v>
      </c>
      <c r="E939" s="144">
        <v>1</v>
      </c>
      <c r="F939" s="145">
        <v>272.33</v>
      </c>
      <c r="G939" s="48">
        <f t="shared" si="315"/>
        <v>345.12</v>
      </c>
      <c r="H939" s="48">
        <f t="shared" si="316"/>
        <v>345.12</v>
      </c>
    </row>
    <row r="940" spans="1:8" ht="47.25" x14ac:dyDescent="0.25">
      <c r="A940" s="53" t="s">
        <v>3718</v>
      </c>
      <c r="B940" s="234">
        <v>72132</v>
      </c>
      <c r="C940" s="143" t="s">
        <v>690</v>
      </c>
      <c r="D940" s="135" t="s">
        <v>77</v>
      </c>
      <c r="E940" s="144">
        <v>3.2</v>
      </c>
      <c r="F940" s="145">
        <v>55.61</v>
      </c>
      <c r="G940" s="48">
        <f t="shared" si="315"/>
        <v>70.47</v>
      </c>
      <c r="H940" s="48">
        <f t="shared" si="316"/>
        <v>225.5</v>
      </c>
    </row>
    <row r="941" spans="1:8" ht="47.25" x14ac:dyDescent="0.25">
      <c r="A941" s="53" t="s">
        <v>3719</v>
      </c>
      <c r="B941" s="135" t="s">
        <v>724</v>
      </c>
      <c r="C941" s="143" t="s">
        <v>725</v>
      </c>
      <c r="D941" s="135" t="s">
        <v>52</v>
      </c>
      <c r="E941" s="144">
        <v>5</v>
      </c>
      <c r="F941" s="145">
        <v>56.99</v>
      </c>
      <c r="G941" s="48">
        <f t="shared" si="315"/>
        <v>72.22</v>
      </c>
      <c r="H941" s="48">
        <f t="shared" si="316"/>
        <v>361.1</v>
      </c>
    </row>
    <row r="942" spans="1:8" ht="31.5" x14ac:dyDescent="0.25">
      <c r="A942" s="53" t="s">
        <v>3720</v>
      </c>
      <c r="B942" s="135" t="s">
        <v>3746</v>
      </c>
      <c r="C942" s="143" t="s">
        <v>3747</v>
      </c>
      <c r="D942" s="135" t="s">
        <v>52</v>
      </c>
      <c r="E942" s="144">
        <v>1</v>
      </c>
      <c r="F942" s="145">
        <v>2656.33</v>
      </c>
      <c r="G942" s="48">
        <f t="shared" si="315"/>
        <v>3366.36</v>
      </c>
      <c r="H942" s="48">
        <f t="shared" si="316"/>
        <v>3366.36</v>
      </c>
    </row>
    <row r="943" spans="1:8" ht="47.25" x14ac:dyDescent="0.25">
      <c r="A943" s="53" t="s">
        <v>3721</v>
      </c>
      <c r="B943" s="135" t="s">
        <v>726</v>
      </c>
      <c r="C943" s="143" t="s">
        <v>727</v>
      </c>
      <c r="D943" s="135" t="s">
        <v>75</v>
      </c>
      <c r="E943" s="144">
        <v>155</v>
      </c>
      <c r="F943" s="145">
        <v>70.47</v>
      </c>
      <c r="G943" s="48">
        <f t="shared" si="315"/>
        <v>89.3</v>
      </c>
      <c r="H943" s="48">
        <f t="shared" si="316"/>
        <v>13841.5</v>
      </c>
    </row>
    <row r="944" spans="1:8" ht="78.75" x14ac:dyDescent="0.25">
      <c r="A944" s="53" t="s">
        <v>3722</v>
      </c>
      <c r="B944" s="234">
        <v>94473</v>
      </c>
      <c r="C944" s="143" t="s">
        <v>381</v>
      </c>
      <c r="D944" s="135" t="s">
        <v>52</v>
      </c>
      <c r="E944" s="144">
        <v>26</v>
      </c>
      <c r="F944" s="145">
        <v>72.87</v>
      </c>
      <c r="G944" s="48">
        <f t="shared" si="315"/>
        <v>92.34</v>
      </c>
      <c r="H944" s="48">
        <f t="shared" si="316"/>
        <v>2400.84</v>
      </c>
    </row>
    <row r="945" spans="1:8" ht="78.75" x14ac:dyDescent="0.25">
      <c r="A945" s="53" t="s">
        <v>3723</v>
      </c>
      <c r="B945" s="234">
        <v>94474</v>
      </c>
      <c r="C945" s="143" t="s">
        <v>3748</v>
      </c>
      <c r="D945" s="135" t="s">
        <v>52</v>
      </c>
      <c r="E945" s="144">
        <v>4</v>
      </c>
      <c r="F945" s="145">
        <v>79.069999999999993</v>
      </c>
      <c r="G945" s="48">
        <f t="shared" si="315"/>
        <v>100.2</v>
      </c>
      <c r="H945" s="48">
        <f t="shared" si="316"/>
        <v>400.8</v>
      </c>
    </row>
    <row r="946" spans="1:8" ht="47.25" x14ac:dyDescent="0.25">
      <c r="A946" s="53" t="s">
        <v>3724</v>
      </c>
      <c r="B946" s="234">
        <v>92378</v>
      </c>
      <c r="C946" s="143" t="s">
        <v>382</v>
      </c>
      <c r="D946" s="135" t="s">
        <v>52</v>
      </c>
      <c r="E946" s="144">
        <v>26</v>
      </c>
      <c r="F946" s="145">
        <v>63.3</v>
      </c>
      <c r="G946" s="48">
        <f t="shared" si="315"/>
        <v>80.22</v>
      </c>
      <c r="H946" s="48">
        <f t="shared" si="316"/>
        <v>2085.7199999999998</v>
      </c>
    </row>
    <row r="947" spans="1:8" ht="47.25" x14ac:dyDescent="0.25">
      <c r="A947" s="53" t="s">
        <v>3725</v>
      </c>
      <c r="B947" s="234">
        <v>92642</v>
      </c>
      <c r="C947" s="143" t="s">
        <v>383</v>
      </c>
      <c r="D947" s="135" t="s">
        <v>52</v>
      </c>
      <c r="E947" s="144">
        <v>10</v>
      </c>
      <c r="F947" s="145">
        <v>125.02</v>
      </c>
      <c r="G947" s="48">
        <f t="shared" si="315"/>
        <v>158.43</v>
      </c>
      <c r="H947" s="48">
        <f t="shared" si="316"/>
        <v>1584.3</v>
      </c>
    </row>
    <row r="948" spans="1:8" ht="31.5" x14ac:dyDescent="0.25">
      <c r="A948" s="53" t="s">
        <v>3726</v>
      </c>
      <c r="B948" s="234" t="s">
        <v>161</v>
      </c>
      <c r="C948" s="143" t="s">
        <v>322</v>
      </c>
      <c r="D948" s="135" t="s">
        <v>52</v>
      </c>
      <c r="E948" s="144">
        <v>1</v>
      </c>
      <c r="F948" s="145">
        <v>259.06</v>
      </c>
      <c r="G948" s="48">
        <f t="shared" si="315"/>
        <v>328.3</v>
      </c>
      <c r="H948" s="48">
        <f t="shared" si="316"/>
        <v>328.3</v>
      </c>
    </row>
    <row r="949" spans="1:8" ht="31.5" x14ac:dyDescent="0.25">
      <c r="A949" s="53" t="s">
        <v>3727</v>
      </c>
      <c r="B949" s="234">
        <v>83491</v>
      </c>
      <c r="C949" s="143" t="s">
        <v>3749</v>
      </c>
      <c r="D949" s="135" t="s">
        <v>52</v>
      </c>
      <c r="E949" s="144">
        <v>1</v>
      </c>
      <c r="F949" s="145">
        <v>248.71</v>
      </c>
      <c r="G949" s="48">
        <f t="shared" si="315"/>
        <v>315.19</v>
      </c>
      <c r="H949" s="48">
        <f t="shared" si="316"/>
        <v>315.19</v>
      </c>
    </row>
    <row r="950" spans="1:8" ht="31.5" x14ac:dyDescent="0.25">
      <c r="A950" s="53" t="s">
        <v>3728</v>
      </c>
      <c r="B950" s="135" t="s">
        <v>604</v>
      </c>
      <c r="C950" s="143" t="s">
        <v>605</v>
      </c>
      <c r="D950" s="135" t="s">
        <v>75</v>
      </c>
      <c r="E950" s="144">
        <v>252</v>
      </c>
      <c r="F950" s="145">
        <v>9.0500000000000007</v>
      </c>
      <c r="G950" s="48">
        <f t="shared" si="315"/>
        <v>11.46</v>
      </c>
      <c r="H950" s="48">
        <f t="shared" si="316"/>
        <v>2887.92</v>
      </c>
    </row>
    <row r="951" spans="1:8" ht="47.25" x14ac:dyDescent="0.25">
      <c r="A951" s="53" t="s">
        <v>3729</v>
      </c>
      <c r="B951" s="135" t="s">
        <v>632</v>
      </c>
      <c r="C951" s="143" t="s">
        <v>633</v>
      </c>
      <c r="D951" s="135" t="s">
        <v>75</v>
      </c>
      <c r="E951" s="144">
        <v>160</v>
      </c>
      <c r="F951" s="145">
        <v>8.19</v>
      </c>
      <c r="G951" s="48">
        <f t="shared" si="315"/>
        <v>10.37</v>
      </c>
      <c r="H951" s="48">
        <f t="shared" si="316"/>
        <v>1659.2</v>
      </c>
    </row>
    <row r="952" spans="1:8" ht="47.25" x14ac:dyDescent="0.25">
      <c r="A952" s="53" t="s">
        <v>3730</v>
      </c>
      <c r="B952" s="135" t="s">
        <v>728</v>
      </c>
      <c r="C952" s="143" t="s">
        <v>729</v>
      </c>
      <c r="D952" s="135" t="s">
        <v>75</v>
      </c>
      <c r="E952" s="144">
        <v>140</v>
      </c>
      <c r="F952" s="145">
        <v>8.9700000000000006</v>
      </c>
      <c r="G952" s="48">
        <f t="shared" si="315"/>
        <v>11.36</v>
      </c>
      <c r="H952" s="48">
        <f t="shared" si="316"/>
        <v>1590.4</v>
      </c>
    </row>
    <row r="953" spans="1:8" ht="63" x14ac:dyDescent="0.25">
      <c r="A953" s="53" t="s">
        <v>3731</v>
      </c>
      <c r="B953" s="135" t="s">
        <v>156</v>
      </c>
      <c r="C953" s="143" t="s">
        <v>311</v>
      </c>
      <c r="D953" s="135" t="s">
        <v>75</v>
      </c>
      <c r="E953" s="144">
        <v>20</v>
      </c>
      <c r="F953" s="145">
        <v>24.25</v>
      </c>
      <c r="G953" s="48">
        <f t="shared" si="315"/>
        <v>30.73</v>
      </c>
      <c r="H953" s="48">
        <f t="shared" si="316"/>
        <v>614.6</v>
      </c>
    </row>
    <row r="954" spans="1:8" x14ac:dyDescent="0.25">
      <c r="A954" s="53" t="s">
        <v>3732</v>
      </c>
      <c r="B954" s="135" t="s">
        <v>460</v>
      </c>
      <c r="C954" s="143" t="s">
        <v>466</v>
      </c>
      <c r="D954" s="135" t="s">
        <v>77</v>
      </c>
      <c r="E954" s="144">
        <v>10.199999999999999</v>
      </c>
      <c r="F954" s="145">
        <v>248.74</v>
      </c>
      <c r="G954" s="48">
        <f t="shared" si="315"/>
        <v>315.22000000000003</v>
      </c>
      <c r="H954" s="48">
        <f t="shared" si="316"/>
        <v>3215.24</v>
      </c>
    </row>
    <row r="955" spans="1:8" ht="78.75" x14ac:dyDescent="0.25">
      <c r="A955" s="53" t="s">
        <v>3733</v>
      </c>
      <c r="B955" s="234" t="s">
        <v>303</v>
      </c>
      <c r="C955" s="143" t="s">
        <v>424</v>
      </c>
      <c r="D955" s="135" t="s">
        <v>52</v>
      </c>
      <c r="E955" s="144">
        <v>26</v>
      </c>
      <c r="F955" s="145">
        <v>129.1</v>
      </c>
      <c r="G955" s="48">
        <f t="shared" si="315"/>
        <v>163.6</v>
      </c>
      <c r="H955" s="48">
        <f t="shared" si="316"/>
        <v>4253.6000000000004</v>
      </c>
    </row>
    <row r="956" spans="1:8" ht="63" x14ac:dyDescent="0.25">
      <c r="A956" s="53" t="s">
        <v>3734</v>
      </c>
      <c r="B956" s="234" t="s">
        <v>467</v>
      </c>
      <c r="C956" s="143" t="s">
        <v>521</v>
      </c>
      <c r="D956" s="135" t="s">
        <v>77</v>
      </c>
      <c r="E956" s="144">
        <v>42</v>
      </c>
      <c r="F956" s="145">
        <v>14.07</v>
      </c>
      <c r="G956" s="48">
        <f t="shared" si="315"/>
        <v>17.829999999999998</v>
      </c>
      <c r="H956" s="48">
        <f t="shared" si="316"/>
        <v>748.86</v>
      </c>
    </row>
    <row r="957" spans="1:8" ht="31.5" x14ac:dyDescent="0.25">
      <c r="A957" s="53" t="s">
        <v>3735</v>
      </c>
      <c r="B957" s="234" t="s">
        <v>451</v>
      </c>
      <c r="C957" s="143" t="s">
        <v>452</v>
      </c>
      <c r="D957" s="135" t="s">
        <v>52</v>
      </c>
      <c r="E957" s="144">
        <v>1</v>
      </c>
      <c r="F957" s="145">
        <v>211.15</v>
      </c>
      <c r="G957" s="48">
        <f t="shared" si="315"/>
        <v>267.58999999999997</v>
      </c>
      <c r="H957" s="48">
        <f t="shared" si="316"/>
        <v>267.58999999999997</v>
      </c>
    </row>
    <row r="958" spans="1:8" ht="31.5" x14ac:dyDescent="0.25">
      <c r="A958" s="53" t="s">
        <v>3736</v>
      </c>
      <c r="B958" s="234">
        <v>93672</v>
      </c>
      <c r="C958" s="143" t="s">
        <v>634</v>
      </c>
      <c r="D958" s="135" t="s">
        <v>52</v>
      </c>
      <c r="E958" s="144">
        <v>2</v>
      </c>
      <c r="F958" s="145">
        <v>71.37</v>
      </c>
      <c r="G958" s="48">
        <f t="shared" si="315"/>
        <v>90.44</v>
      </c>
      <c r="H958" s="48">
        <f t="shared" si="316"/>
        <v>180.88</v>
      </c>
    </row>
    <row r="959" spans="1:8" ht="110.25" x14ac:dyDescent="0.25">
      <c r="A959" s="53" t="s">
        <v>3737</v>
      </c>
      <c r="B959" s="234">
        <v>90105</v>
      </c>
      <c r="C959" s="143" t="s">
        <v>640</v>
      </c>
      <c r="D959" s="135" t="s">
        <v>153</v>
      </c>
      <c r="E959" s="144">
        <v>69</v>
      </c>
      <c r="F959" s="145">
        <v>10.76</v>
      </c>
      <c r="G959" s="48">
        <f t="shared" si="315"/>
        <v>13.63</v>
      </c>
      <c r="H959" s="48">
        <f t="shared" si="316"/>
        <v>940.47</v>
      </c>
    </row>
    <row r="960" spans="1:8" ht="94.5" x14ac:dyDescent="0.25">
      <c r="A960" s="53" t="s">
        <v>3738</v>
      </c>
      <c r="B960" s="234">
        <v>93378</v>
      </c>
      <c r="C960" s="143" t="s">
        <v>641</v>
      </c>
      <c r="D960" s="135" t="s">
        <v>153</v>
      </c>
      <c r="E960" s="144">
        <v>74</v>
      </c>
      <c r="F960" s="145">
        <v>16.03</v>
      </c>
      <c r="G960" s="48">
        <f t="shared" ref="G960:G962" si="317">TRUNC(F960*(1+$E$3),2)</f>
        <v>20.309999999999999</v>
      </c>
      <c r="H960" s="48">
        <f t="shared" ref="H960:H962" si="318">TRUNC((G960*E960),2)</f>
        <v>1502.94</v>
      </c>
    </row>
    <row r="961" spans="1:8" ht="31.5" x14ac:dyDescent="0.25">
      <c r="A961" s="53" t="s">
        <v>3739</v>
      </c>
      <c r="B961" s="135" t="s">
        <v>699</v>
      </c>
      <c r="C961" s="143" t="s">
        <v>700</v>
      </c>
      <c r="D961" s="135" t="s">
        <v>75</v>
      </c>
      <c r="E961" s="144">
        <v>8</v>
      </c>
      <c r="F961" s="145">
        <v>18.899999999999999</v>
      </c>
      <c r="G961" s="48">
        <f t="shared" si="317"/>
        <v>23.95</v>
      </c>
      <c r="H961" s="48">
        <f t="shared" si="318"/>
        <v>191.6</v>
      </c>
    </row>
    <row r="962" spans="1:8" x14ac:dyDescent="0.25">
      <c r="A962" s="53" t="s">
        <v>3740</v>
      </c>
      <c r="B962" s="135" t="s">
        <v>701</v>
      </c>
      <c r="C962" s="143" t="s">
        <v>702</v>
      </c>
      <c r="D962" s="135" t="s">
        <v>52</v>
      </c>
      <c r="E962" s="144">
        <v>8</v>
      </c>
      <c r="F962" s="145">
        <v>4.13</v>
      </c>
      <c r="G962" s="48">
        <f t="shared" si="317"/>
        <v>5.23</v>
      </c>
      <c r="H962" s="48">
        <f t="shared" si="318"/>
        <v>41.84</v>
      </c>
    </row>
    <row r="963" spans="1:8" x14ac:dyDescent="0.25">
      <c r="A963" s="53" t="s">
        <v>3741</v>
      </c>
      <c r="B963" s="135" t="s">
        <v>703</v>
      </c>
      <c r="C963" s="143" t="s">
        <v>704</v>
      </c>
      <c r="D963" s="135" t="s">
        <v>52</v>
      </c>
      <c r="E963" s="144">
        <v>10</v>
      </c>
      <c r="F963" s="145">
        <v>14.42</v>
      </c>
      <c r="G963" s="48">
        <f t="shared" si="315"/>
        <v>18.27</v>
      </c>
      <c r="H963" s="48">
        <f t="shared" si="316"/>
        <v>182.7</v>
      </c>
    </row>
    <row r="964" spans="1:8" x14ac:dyDescent="0.25">
      <c r="A964" s="53" t="s">
        <v>3742</v>
      </c>
      <c r="B964" s="135" t="s">
        <v>362</v>
      </c>
      <c r="C964" s="143" t="s">
        <v>363</v>
      </c>
      <c r="D964" s="135" t="s">
        <v>52</v>
      </c>
      <c r="E964" s="144">
        <v>8</v>
      </c>
      <c r="F964" s="145">
        <v>4.58</v>
      </c>
      <c r="G964" s="48">
        <f t="shared" si="315"/>
        <v>5.8</v>
      </c>
      <c r="H964" s="48">
        <f t="shared" si="316"/>
        <v>46.4</v>
      </c>
    </row>
    <row r="965" spans="1:8" ht="31.5" x14ac:dyDescent="0.25">
      <c r="A965" s="53" t="s">
        <v>3743</v>
      </c>
      <c r="B965" s="135" t="s">
        <v>3370</v>
      </c>
      <c r="C965" s="143" t="s">
        <v>3371</v>
      </c>
      <c r="D965" s="135" t="s">
        <v>52</v>
      </c>
      <c r="E965" s="144">
        <v>1</v>
      </c>
      <c r="F965" s="145">
        <v>18273.45</v>
      </c>
      <c r="G965" s="48">
        <f t="shared" si="315"/>
        <v>23157.94</v>
      </c>
      <c r="H965" s="48">
        <f t="shared" si="316"/>
        <v>23157.94</v>
      </c>
    </row>
    <row r="966" spans="1:8" x14ac:dyDescent="0.25">
      <c r="A966" s="62"/>
      <c r="B966" s="62"/>
      <c r="C966" s="63" t="s">
        <v>13</v>
      </c>
      <c r="D966" s="62"/>
      <c r="E966" s="64"/>
      <c r="F966" s="64"/>
      <c r="G966" s="65"/>
      <c r="H966" s="65">
        <f>SUM(H926:H965)</f>
        <v>78922.62999999999</v>
      </c>
    </row>
    <row r="967" spans="1:8" x14ac:dyDescent="0.25">
      <c r="A967" s="119" t="s">
        <v>92</v>
      </c>
      <c r="B967" s="119"/>
      <c r="C967" s="120" t="s">
        <v>113</v>
      </c>
      <c r="D967" s="119"/>
      <c r="E967" s="121"/>
      <c r="F967" s="121"/>
      <c r="G967" s="122"/>
      <c r="H967" s="122"/>
    </row>
    <row r="968" spans="1:8" ht="31.5" x14ac:dyDescent="0.25">
      <c r="A968" s="53" t="s">
        <v>3750</v>
      </c>
      <c r="B968" s="135" t="s">
        <v>730</v>
      </c>
      <c r="C968" s="143" t="s">
        <v>731</v>
      </c>
      <c r="D968" s="135" t="s">
        <v>52</v>
      </c>
      <c r="E968" s="144">
        <v>3</v>
      </c>
      <c r="F968" s="145">
        <v>242.97</v>
      </c>
      <c r="G968" s="48">
        <f t="shared" ref="G968" si="319">TRUNC(F968*(1+$E$3),2)</f>
        <v>307.91000000000003</v>
      </c>
      <c r="H968" s="48">
        <f t="shared" ref="H968" si="320">TRUNC((G968*E968),2)</f>
        <v>923.73</v>
      </c>
    </row>
    <row r="969" spans="1:8" ht="31.5" x14ac:dyDescent="0.25">
      <c r="A969" s="53" t="s">
        <v>3751</v>
      </c>
      <c r="B969" s="135" t="s">
        <v>389</v>
      </c>
      <c r="C969" s="143" t="s">
        <v>390</v>
      </c>
      <c r="D969" s="135" t="s">
        <v>52</v>
      </c>
      <c r="E969" s="144">
        <v>52</v>
      </c>
      <c r="F969" s="145">
        <v>34.549999999999997</v>
      </c>
      <c r="G969" s="48">
        <f t="shared" ref="G969" si="321">TRUNC(F969*(1+$E$3),2)</f>
        <v>43.78</v>
      </c>
      <c r="H969" s="48">
        <f t="shared" ref="H969" si="322">TRUNC((G969*E969),2)</f>
        <v>2276.56</v>
      </c>
    </row>
    <row r="970" spans="1:8" x14ac:dyDescent="0.25">
      <c r="A970" s="62"/>
      <c r="B970" s="62"/>
      <c r="C970" s="63" t="s">
        <v>13</v>
      </c>
      <c r="D970" s="62"/>
      <c r="E970" s="64"/>
      <c r="F970" s="64"/>
      <c r="G970" s="65"/>
      <c r="H970" s="65">
        <f>SUM(H968:H969)</f>
        <v>3200.29</v>
      </c>
    </row>
    <row r="971" spans="1:8" x14ac:dyDescent="0.25">
      <c r="A971" s="49"/>
      <c r="B971" s="49"/>
      <c r="C971" s="50" t="s">
        <v>114</v>
      </c>
      <c r="D971" s="49"/>
      <c r="E971" s="51"/>
      <c r="F971" s="51"/>
      <c r="G971" s="52"/>
      <c r="H971" s="52">
        <f>SUM(H970,H966,H924,H902,H898)</f>
        <v>101269.63999999998</v>
      </c>
    </row>
    <row r="972" spans="1:8" x14ac:dyDescent="0.25">
      <c r="A972" s="49"/>
      <c r="B972" s="49"/>
      <c r="C972" s="50" t="s">
        <v>35</v>
      </c>
      <c r="D972" s="49"/>
      <c r="E972" s="52"/>
      <c r="F972" s="52"/>
      <c r="G972" s="51"/>
      <c r="H972" s="52">
        <f>SUM(H971,H890,H856,H787,H579,H291,H29)</f>
        <v>8541674.5199999996</v>
      </c>
    </row>
    <row r="973" spans="1:8" x14ac:dyDescent="0.25">
      <c r="A973" s="750" t="str">
        <f>[3]!VExtenso(H972)</f>
        <v>oito milhões, quinhentos e quarenta e um mil, seiscentos e setenta e quatro reais e cinquenta e dois centavos</v>
      </c>
      <c r="B973" s="750"/>
      <c r="C973" s="750"/>
      <c r="D973" s="750"/>
      <c r="E973" s="750"/>
      <c r="F973" s="750"/>
      <c r="G973" s="750"/>
      <c r="H973" s="750"/>
    </row>
    <row r="976" spans="1:8" x14ac:dyDescent="0.25">
      <c r="A976" s="40"/>
      <c r="B976" s="40"/>
      <c r="C976" s="58"/>
      <c r="D976" s="40"/>
      <c r="E976" s="40"/>
      <c r="F976" s="40"/>
      <c r="G976" s="40"/>
      <c r="H976" s="40"/>
    </row>
  </sheetData>
  <protectedRanges>
    <protectedRange sqref="F595:F596" name="Intervalo1_11_1_2_1_1_2_1_1_1_2_3_1"/>
    <protectedRange sqref="E784 E781" name="Intervalo1_13_1_2_1_1_1_1_1_2_1_1_1"/>
  </protectedRanges>
  <autoFilter ref="B1:B976"/>
  <mergeCells count="11">
    <mergeCell ref="B1:H1"/>
    <mergeCell ref="A6:H6"/>
    <mergeCell ref="A973:H973"/>
    <mergeCell ref="A30:H30"/>
    <mergeCell ref="A891:H891"/>
    <mergeCell ref="A8:H8"/>
    <mergeCell ref="A580:H580"/>
    <mergeCell ref="A292:H292"/>
    <mergeCell ref="C386:D386"/>
    <mergeCell ref="A788:H788"/>
    <mergeCell ref="A857:H857"/>
  </mergeCells>
  <conditionalFormatting sqref="A441:H442 A429:H438 A445:H451 A454:H459 A462:H465 A477:H478 A468:H474 A489:H490 A481:H484 A507:H510 A513:H516 B523:H526 A527:H535 A538:H545 A548:H554 A557:H558 A566:H570 A581:H597 B646:F652 A422:H426 A387:H420 A386:C386 E386:H386 A662:H681 A684:H690 A693:H694 A789:H789 B847:H851 A852:H856 D858:H858 A892:H973 A297:H384 A561:H563 A31:H291 A9:H29 A655:H659 A697:H787">
    <cfRule type="expression" dxfId="0" priority="105">
      <formula>EVEN(ROW())=ROW()</formula>
    </cfRule>
  </conditionalFormatting>
  <conditionalFormatting sqref="A293:H293">
    <cfRule type="expression" dxfId="103" priority="104">
      <formula>EVEN(ROW())=ROW()</formula>
    </cfRule>
  </conditionalFormatting>
  <conditionalFormatting sqref="A294:H294">
    <cfRule type="expression" dxfId="102" priority="103">
      <formula>EVEN(ROW())=ROW()</formula>
    </cfRule>
  </conditionalFormatting>
  <conditionalFormatting sqref="A295:H296">
    <cfRule type="expression" dxfId="101" priority="102">
      <formula>EVEN(ROW())=ROW()</formula>
    </cfRule>
  </conditionalFormatting>
  <conditionalFormatting sqref="A427:H427">
    <cfRule type="expression" dxfId="100" priority="101">
      <formula>EVEN(ROW())=ROW()</formula>
    </cfRule>
  </conditionalFormatting>
  <conditionalFormatting sqref="A428:H428">
    <cfRule type="expression" dxfId="99" priority="100">
      <formula>EVEN(ROW())=ROW()</formula>
    </cfRule>
  </conditionalFormatting>
  <conditionalFormatting sqref="A439:H439">
    <cfRule type="expression" dxfId="98" priority="99">
      <formula>EVEN(ROW())=ROW()</formula>
    </cfRule>
  </conditionalFormatting>
  <conditionalFormatting sqref="A440:H440">
    <cfRule type="expression" dxfId="97" priority="98">
      <formula>EVEN(ROW())=ROW()</formula>
    </cfRule>
  </conditionalFormatting>
  <conditionalFormatting sqref="A443:H443">
    <cfRule type="expression" dxfId="96" priority="97">
      <formula>EVEN(ROW())=ROW()</formula>
    </cfRule>
  </conditionalFormatting>
  <conditionalFormatting sqref="A444:H444">
    <cfRule type="expression" dxfId="95" priority="96">
      <formula>EVEN(ROW())=ROW()</formula>
    </cfRule>
  </conditionalFormatting>
  <conditionalFormatting sqref="A452:H452 D453:H453">
    <cfRule type="expression" dxfId="94" priority="95">
      <formula>EVEN(ROW())=ROW()</formula>
    </cfRule>
  </conditionalFormatting>
  <conditionalFormatting sqref="A453:C453">
    <cfRule type="expression" dxfId="93" priority="94">
      <formula>EVEN(ROW())=ROW()</formula>
    </cfRule>
  </conditionalFormatting>
  <conditionalFormatting sqref="A460:H460">
    <cfRule type="expression" dxfId="92" priority="93">
      <formula>EVEN(ROW())=ROW()</formula>
    </cfRule>
  </conditionalFormatting>
  <conditionalFormatting sqref="D461:H461">
    <cfRule type="expression" dxfId="91" priority="92">
      <formula>EVEN(ROW())=ROW()</formula>
    </cfRule>
  </conditionalFormatting>
  <conditionalFormatting sqref="A461:C461">
    <cfRule type="expression" dxfId="90" priority="91">
      <formula>EVEN(ROW())=ROW()</formula>
    </cfRule>
  </conditionalFormatting>
  <conditionalFormatting sqref="A466:H466">
    <cfRule type="expression" dxfId="89" priority="90">
      <formula>EVEN(ROW())=ROW()</formula>
    </cfRule>
  </conditionalFormatting>
  <conditionalFormatting sqref="D467:H467">
    <cfRule type="expression" dxfId="88" priority="89">
      <formula>EVEN(ROW())=ROW()</formula>
    </cfRule>
  </conditionalFormatting>
  <conditionalFormatting sqref="A467:C467">
    <cfRule type="expression" dxfId="87" priority="88">
      <formula>EVEN(ROW())=ROW()</formula>
    </cfRule>
  </conditionalFormatting>
  <conditionalFormatting sqref="A475:H475">
    <cfRule type="expression" dxfId="86" priority="87">
      <formula>EVEN(ROW())=ROW()</formula>
    </cfRule>
  </conditionalFormatting>
  <conditionalFormatting sqref="D476:H476">
    <cfRule type="expression" dxfId="85" priority="86">
      <formula>EVEN(ROW())=ROW()</formula>
    </cfRule>
  </conditionalFormatting>
  <conditionalFormatting sqref="A476:C476">
    <cfRule type="expression" dxfId="84" priority="85">
      <formula>EVEN(ROW())=ROW()</formula>
    </cfRule>
  </conditionalFormatting>
  <conditionalFormatting sqref="A479:H479">
    <cfRule type="expression" dxfId="83" priority="84">
      <formula>EVEN(ROW())=ROW()</formula>
    </cfRule>
  </conditionalFormatting>
  <conditionalFormatting sqref="D480:H480">
    <cfRule type="expression" dxfId="82" priority="83">
      <formula>EVEN(ROW())=ROW()</formula>
    </cfRule>
  </conditionalFormatting>
  <conditionalFormatting sqref="A480:C480">
    <cfRule type="expression" dxfId="81" priority="82">
      <formula>EVEN(ROW())=ROW()</formula>
    </cfRule>
  </conditionalFormatting>
  <conditionalFormatting sqref="A486:H486 D487:H488">
    <cfRule type="expression" dxfId="80" priority="81">
      <formula>EVEN(ROW())=ROW()</formula>
    </cfRule>
  </conditionalFormatting>
  <conditionalFormatting sqref="A487:C488">
    <cfRule type="expression" dxfId="79" priority="80">
      <formula>EVEN(ROW())=ROW()</formula>
    </cfRule>
  </conditionalFormatting>
  <conditionalFormatting sqref="A491:H491">
    <cfRule type="expression" dxfId="78" priority="79">
      <formula>EVEN(ROW())=ROW()</formula>
    </cfRule>
  </conditionalFormatting>
  <conditionalFormatting sqref="B503:H504">
    <cfRule type="expression" dxfId="77" priority="78">
      <formula>EVEN(ROW())=ROW()</formula>
    </cfRule>
  </conditionalFormatting>
  <conditionalFormatting sqref="D492:H492">
    <cfRule type="expression" dxfId="76" priority="77">
      <formula>EVEN(ROW())=ROW()</formula>
    </cfRule>
  </conditionalFormatting>
  <conditionalFormatting sqref="A492:C492">
    <cfRule type="expression" dxfId="75" priority="76">
      <formula>EVEN(ROW())=ROW()</formula>
    </cfRule>
  </conditionalFormatting>
  <conditionalFormatting sqref="A505:H505">
    <cfRule type="expression" dxfId="74" priority="75">
      <formula>EVEN(ROW())=ROW()</formula>
    </cfRule>
  </conditionalFormatting>
  <conditionalFormatting sqref="A493:H493 B494:H494 A494:A504">
    <cfRule type="expression" dxfId="73" priority="74">
      <formula>EVEN(ROW())=ROW()</formula>
    </cfRule>
  </conditionalFormatting>
  <conditionalFormatting sqref="B495:H496">
    <cfRule type="expression" dxfId="72" priority="73">
      <formula>EVEN(ROW())=ROW()</formula>
    </cfRule>
  </conditionalFormatting>
  <conditionalFormatting sqref="B497:H498">
    <cfRule type="expression" dxfId="71" priority="72">
      <formula>EVEN(ROW())=ROW()</formula>
    </cfRule>
  </conditionalFormatting>
  <conditionalFormatting sqref="B499:H500">
    <cfRule type="expression" dxfId="70" priority="71">
      <formula>EVEN(ROW())=ROW()</formula>
    </cfRule>
  </conditionalFormatting>
  <conditionalFormatting sqref="B501:H502">
    <cfRule type="expression" dxfId="69" priority="70">
      <formula>EVEN(ROW())=ROW()</formula>
    </cfRule>
  </conditionalFormatting>
  <conditionalFormatting sqref="D506:H506">
    <cfRule type="expression" dxfId="68" priority="69">
      <formula>EVEN(ROW())=ROW()</formula>
    </cfRule>
  </conditionalFormatting>
  <conditionalFormatting sqref="A506:C506">
    <cfRule type="expression" dxfId="67" priority="68">
      <formula>EVEN(ROW())=ROW()</formula>
    </cfRule>
  </conditionalFormatting>
  <conditionalFormatting sqref="A511:H511">
    <cfRule type="expression" dxfId="66" priority="67">
      <formula>EVEN(ROW())=ROW()</formula>
    </cfRule>
  </conditionalFormatting>
  <conditionalFormatting sqref="D512:H512">
    <cfRule type="expression" dxfId="65" priority="66">
      <formula>EVEN(ROW())=ROW()</formula>
    </cfRule>
  </conditionalFormatting>
  <conditionalFormatting sqref="A512:C512">
    <cfRule type="expression" dxfId="64" priority="65">
      <formula>EVEN(ROW())=ROW()</formula>
    </cfRule>
  </conditionalFormatting>
  <conditionalFormatting sqref="A517:H517">
    <cfRule type="expression" dxfId="63" priority="64">
      <formula>EVEN(ROW())=ROW()</formula>
    </cfRule>
  </conditionalFormatting>
  <conditionalFormatting sqref="D518:H518">
    <cfRule type="expression" dxfId="62" priority="63">
      <formula>EVEN(ROW())=ROW()</formula>
    </cfRule>
  </conditionalFormatting>
  <conditionalFormatting sqref="A518:C518">
    <cfRule type="expression" dxfId="61" priority="62">
      <formula>EVEN(ROW())=ROW()</formula>
    </cfRule>
  </conditionalFormatting>
  <conditionalFormatting sqref="A519:H519 B520:H522 A520:A526">
    <cfRule type="expression" dxfId="60" priority="61">
      <formula>EVEN(ROW())=ROW()</formula>
    </cfRule>
  </conditionalFormatting>
  <conditionalFormatting sqref="A536:H536">
    <cfRule type="expression" dxfId="59" priority="60">
      <formula>EVEN(ROW())=ROW()</formula>
    </cfRule>
  </conditionalFormatting>
  <conditionalFormatting sqref="A537:H537">
    <cfRule type="expression" dxfId="58" priority="59">
      <formula>EVEN(ROW())=ROW()</formula>
    </cfRule>
  </conditionalFormatting>
  <conditionalFormatting sqref="A546:H546">
    <cfRule type="expression" dxfId="57" priority="58">
      <formula>EVEN(ROW())=ROW()</formula>
    </cfRule>
  </conditionalFormatting>
  <conditionalFormatting sqref="A547:H547">
    <cfRule type="expression" dxfId="56" priority="57">
      <formula>EVEN(ROW())=ROW()</formula>
    </cfRule>
  </conditionalFormatting>
  <conditionalFormatting sqref="A555:H555">
    <cfRule type="expression" dxfId="55" priority="56">
      <formula>EVEN(ROW())=ROW()</formula>
    </cfRule>
  </conditionalFormatting>
  <conditionalFormatting sqref="A556:H556">
    <cfRule type="expression" dxfId="54" priority="55">
      <formula>EVEN(ROW())=ROW()</formula>
    </cfRule>
  </conditionalFormatting>
  <conditionalFormatting sqref="A559:H559">
    <cfRule type="expression" dxfId="53" priority="54">
      <formula>EVEN(ROW())=ROW()</formula>
    </cfRule>
  </conditionalFormatting>
  <conditionalFormatting sqref="A560:H560">
    <cfRule type="expression" dxfId="52" priority="53">
      <formula>EVEN(ROW())=ROW()</formula>
    </cfRule>
  </conditionalFormatting>
  <conditionalFormatting sqref="A564:H564">
    <cfRule type="expression" dxfId="51" priority="52">
      <formula>EVEN(ROW())=ROW()</formula>
    </cfRule>
  </conditionalFormatting>
  <conditionalFormatting sqref="A565:H565">
    <cfRule type="expression" dxfId="50" priority="51">
      <formula>EVEN(ROW())=ROW()</formula>
    </cfRule>
  </conditionalFormatting>
  <conditionalFormatting sqref="A571:H571">
    <cfRule type="expression" dxfId="49" priority="48">
      <formula>EVEN(ROW())=ROW()</formula>
    </cfRule>
  </conditionalFormatting>
  <conditionalFormatting sqref="A598:H598">
    <cfRule type="expression" dxfId="48" priority="46">
      <formula>EVEN(ROW())=ROW()</formula>
    </cfRule>
  </conditionalFormatting>
  <conditionalFormatting sqref="A572:H577">
    <cfRule type="expression" dxfId="47" priority="47">
      <formula>EVEN(ROW())=ROW()</formula>
    </cfRule>
  </conditionalFormatting>
  <conditionalFormatting sqref="A599:H599">
    <cfRule type="expression" dxfId="46" priority="45">
      <formula>EVEN(ROW())=ROW()</formula>
    </cfRule>
  </conditionalFormatting>
  <conditionalFormatting sqref="A600:H600 B601:F622 A601:A652 G601:H652">
    <cfRule type="expression" dxfId="45" priority="44">
      <formula>EVEN(ROW())=ROW()</formula>
    </cfRule>
  </conditionalFormatting>
  <conditionalFormatting sqref="B623:F645">
    <cfRule type="expression" dxfId="44" priority="43">
      <formula>EVEN(ROW())=ROW()</formula>
    </cfRule>
  </conditionalFormatting>
  <conditionalFormatting sqref="A653:H653">
    <cfRule type="expression" dxfId="43" priority="42">
      <formula>EVEN(ROW())=ROW()</formula>
    </cfRule>
  </conditionalFormatting>
  <conditionalFormatting sqref="A579:H579">
    <cfRule type="expression" dxfId="42" priority="41">
      <formula>EVEN(ROW())=ROW()</formula>
    </cfRule>
  </conditionalFormatting>
  <conditionalFormatting sqref="A485:H485">
    <cfRule type="expression" dxfId="41" priority="39">
      <formula>EVEN(ROW())=ROW()</formula>
    </cfRule>
  </conditionalFormatting>
  <conditionalFormatting sqref="A578:H578">
    <cfRule type="expression" dxfId="40" priority="40">
      <formula>EVEN(ROW())=ROW()</formula>
    </cfRule>
  </conditionalFormatting>
  <conditionalFormatting sqref="A421:H421">
    <cfRule type="expression" dxfId="39" priority="38">
      <formula>EVEN(ROW())=ROW()</formula>
    </cfRule>
  </conditionalFormatting>
  <conditionalFormatting sqref="A385:H385">
    <cfRule type="expression" dxfId="38" priority="37">
      <formula>EVEN(ROW())=ROW()</formula>
    </cfRule>
  </conditionalFormatting>
  <conditionalFormatting sqref="A654:H654">
    <cfRule type="expression" dxfId="37" priority="36">
      <formula>EVEN(ROW())=ROW()</formula>
    </cfRule>
  </conditionalFormatting>
  <conditionalFormatting sqref="A660:H660">
    <cfRule type="expression" dxfId="36" priority="35">
      <formula>EVEN(ROW())=ROW()</formula>
    </cfRule>
  </conditionalFormatting>
  <conditionalFormatting sqref="A661:H661">
    <cfRule type="expression" dxfId="35" priority="34">
      <formula>EVEN(ROW())=ROW()</formula>
    </cfRule>
  </conditionalFormatting>
  <conditionalFormatting sqref="A682:H682">
    <cfRule type="expression" dxfId="34" priority="33">
      <formula>EVEN(ROW())=ROW()</formula>
    </cfRule>
  </conditionalFormatting>
  <conditionalFormatting sqref="A683:H683">
    <cfRule type="expression" dxfId="33" priority="32">
      <formula>EVEN(ROW())=ROW()</formula>
    </cfRule>
  </conditionalFormatting>
  <conditionalFormatting sqref="A691:H691">
    <cfRule type="expression" dxfId="32" priority="31">
      <formula>EVEN(ROW())=ROW()</formula>
    </cfRule>
  </conditionalFormatting>
  <conditionalFormatting sqref="A692:H692">
    <cfRule type="expression" dxfId="31" priority="30">
      <formula>EVEN(ROW())=ROW()</formula>
    </cfRule>
  </conditionalFormatting>
  <conditionalFormatting sqref="A695:H695">
    <cfRule type="expression" dxfId="30" priority="29">
      <formula>EVEN(ROW())=ROW()</formula>
    </cfRule>
  </conditionalFormatting>
  <conditionalFormatting sqref="A696:H696">
    <cfRule type="expression" dxfId="29" priority="28">
      <formula>EVEN(ROW())=ROW()</formula>
    </cfRule>
  </conditionalFormatting>
  <conditionalFormatting sqref="A790:B790 D790:H790">
    <cfRule type="expression" dxfId="28" priority="26">
      <formula>EVEN(ROW())=ROW()</formula>
    </cfRule>
  </conditionalFormatting>
  <conditionalFormatting sqref="C790">
    <cfRule type="expression" dxfId="27" priority="25">
      <formula>EVEN(ROW())=ROW()</formula>
    </cfRule>
  </conditionalFormatting>
  <conditionalFormatting sqref="B842:H846">
    <cfRule type="expression" dxfId="26" priority="24">
      <formula>EVEN(ROW())=ROW()</formula>
    </cfRule>
  </conditionalFormatting>
  <conditionalFormatting sqref="B796:H800">
    <cfRule type="expression" dxfId="25" priority="23">
      <formula>EVEN(ROW())=ROW()</formula>
    </cfRule>
  </conditionalFormatting>
  <conditionalFormatting sqref="A791:H791 B792:H795 A792:A851">
    <cfRule type="expression" dxfId="24" priority="22">
      <formula>EVEN(ROW())=ROW()</formula>
    </cfRule>
  </conditionalFormatting>
  <conditionalFormatting sqref="B806:H810">
    <cfRule type="expression" dxfId="23" priority="21">
      <formula>EVEN(ROW())=ROW()</formula>
    </cfRule>
  </conditionalFormatting>
  <conditionalFormatting sqref="B801:H805">
    <cfRule type="expression" dxfId="22" priority="20">
      <formula>EVEN(ROW())=ROW()</formula>
    </cfRule>
  </conditionalFormatting>
  <conditionalFormatting sqref="B816:H820">
    <cfRule type="expression" dxfId="21" priority="19">
      <formula>EVEN(ROW())=ROW()</formula>
    </cfRule>
  </conditionalFormatting>
  <conditionalFormatting sqref="B811:H815">
    <cfRule type="expression" dxfId="20" priority="18">
      <formula>EVEN(ROW())=ROW()</formula>
    </cfRule>
  </conditionalFormatting>
  <conditionalFormatting sqref="B826:H830">
    <cfRule type="expression" dxfId="19" priority="17">
      <formula>EVEN(ROW())=ROW()</formula>
    </cfRule>
  </conditionalFormatting>
  <conditionalFormatting sqref="B821:H825">
    <cfRule type="expression" dxfId="18" priority="16">
      <formula>EVEN(ROW())=ROW()</formula>
    </cfRule>
  </conditionalFormatting>
  <conditionalFormatting sqref="B836:H840">
    <cfRule type="expression" dxfId="17" priority="15">
      <formula>EVEN(ROW())=ROW()</formula>
    </cfRule>
  </conditionalFormatting>
  <conditionalFormatting sqref="B831:H835">
    <cfRule type="expression" dxfId="16" priority="14">
      <formula>EVEN(ROW())=ROW()</formula>
    </cfRule>
  </conditionalFormatting>
  <conditionalFormatting sqref="B841:H841">
    <cfRule type="expression" dxfId="15" priority="13">
      <formula>EVEN(ROW())=ROW()</formula>
    </cfRule>
  </conditionalFormatting>
  <conditionalFormatting sqref="A858:B858">
    <cfRule type="expression" dxfId="14" priority="12">
      <formula>EVEN(ROW())=ROW()</formula>
    </cfRule>
  </conditionalFormatting>
  <conditionalFormatting sqref="C858">
    <cfRule type="expression" dxfId="13" priority="11">
      <formula>EVEN(ROW())=ROW()</formula>
    </cfRule>
  </conditionalFormatting>
  <conditionalFormatting sqref="B865:F869">
    <cfRule type="expression" dxfId="12" priority="10">
      <formula>EVEN(ROW())=ROW()</formula>
    </cfRule>
  </conditionalFormatting>
  <conditionalFormatting sqref="A860:H860 B861:F864 A861:A888 G861:H888">
    <cfRule type="expression" dxfId="11" priority="9">
      <formula>EVEN(ROW())=ROW()</formula>
    </cfRule>
  </conditionalFormatting>
  <conditionalFormatting sqref="B875:F879">
    <cfRule type="expression" dxfId="10" priority="8">
      <formula>EVEN(ROW())=ROW()</formula>
    </cfRule>
  </conditionalFormatting>
  <conditionalFormatting sqref="B870:F874">
    <cfRule type="expression" dxfId="9" priority="7">
      <formula>EVEN(ROW())=ROW()</formula>
    </cfRule>
  </conditionalFormatting>
  <conditionalFormatting sqref="B885:F888">
    <cfRule type="expression" dxfId="8" priority="6">
      <formula>EVEN(ROW())=ROW()</formula>
    </cfRule>
  </conditionalFormatting>
  <conditionalFormatting sqref="B880:F884">
    <cfRule type="expression" dxfId="7" priority="5">
      <formula>EVEN(ROW())=ROW()</formula>
    </cfRule>
  </conditionalFormatting>
  <conditionalFormatting sqref="A889:H890">
    <cfRule type="expression" dxfId="6" priority="4">
      <formula>EVEN(ROW())=ROW()</formula>
    </cfRule>
  </conditionalFormatting>
  <conditionalFormatting sqref="D859:H859">
    <cfRule type="expression" dxfId="5" priority="3">
      <formula>EVEN(ROW())=ROW()</formula>
    </cfRule>
  </conditionalFormatting>
  <conditionalFormatting sqref="A859:B859">
    <cfRule type="expression" dxfId="4" priority="2">
      <formula>EVEN(ROW())=ROW()</formula>
    </cfRule>
  </conditionalFormatting>
  <conditionalFormatting sqref="C859">
    <cfRule type="expression" dxfId="3" priority="1">
      <formula>EVEN(ROW())=ROW()</formula>
    </cfRule>
  </conditionalFormatting>
  <pageMargins left="0.51181102362204722" right="0.51181102362204722" top="0.9055118110236221" bottom="1.0629921259842521" header="0.31496062992125984" footer="0.31496062992125984"/>
  <pageSetup paperSize="9" scale="82" orientation="landscape" r:id="rId1"/>
  <headerFooter>
    <oddHeader>&amp;L&amp;G&amp;C&amp;"-,Negrito"&amp;9&amp;K00-029GOVERNO DO ESTADO DE MATO GROSSO&amp;"-,Regular"
SECRETARIA DE ESTADO DE EDUCAÇÃO
SECRETARIA ADJUNTA DE ESTRUTURA ESCOLAR&amp;R&amp;G</oddHeader>
    <oddFooter xml:space="preserve">&amp;L&amp;"-,Negrito"&amp;7&amp;K00-033Secretaria de Estado de Educação, Esporte e Lazer de Mato Grosso&amp;"-,Regular"
Rua Engenheiro Edgar Prado Arze, 215 - Centro Político Administrativo
CEP: 78049-909 | Cuiabá-MT
Fone: (65) 3613-6300&amp;C&amp;9&amp;K00-035&amp;P / &amp;N&amp;R&amp;7&amp;K00-034&amp;A
</oddFooter>
  </headerFooter>
  <ignoredErrors>
    <ignoredError sqref="H409 H415 H427 H439 H443 H452 H460 H466 H475 H479 H491 H505 H511 H517 H536 H546 H555 H559 H564 H598 H660 H682 H691 H695" formula="1"/>
    <ignoredError sqref="B572:F576 B693:F694" numberStoredAsText="1"/>
  </ignoredError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7"/>
  <sheetViews>
    <sheetView view="pageBreakPreview" topLeftCell="A211" zoomScale="90" zoomScaleNormal="100" zoomScaleSheetLayoutView="90" workbookViewId="0">
      <selection activeCell="A2" sqref="A2:A697"/>
    </sheetView>
  </sheetViews>
  <sheetFormatPr defaultRowHeight="15" x14ac:dyDescent="0.25"/>
  <cols>
    <col min="2" max="2" width="8.7109375" bestFit="1" customWidth="1"/>
    <col min="3" max="3" width="53.5703125" customWidth="1"/>
    <col min="4" max="4" width="12" bestFit="1" customWidth="1"/>
  </cols>
  <sheetData>
    <row r="1" spans="1:4" ht="16.5" thickBot="1" x14ac:dyDescent="0.3">
      <c r="A1" s="763" t="s">
        <v>2538</v>
      </c>
      <c r="B1" s="764"/>
      <c r="C1" s="764"/>
      <c r="D1" s="765"/>
    </row>
    <row r="2" spans="1:4" x14ac:dyDescent="0.25">
      <c r="A2" s="754">
        <v>1</v>
      </c>
      <c r="B2" s="285" t="s">
        <v>1239</v>
      </c>
      <c r="C2" s="286" t="s">
        <v>2540</v>
      </c>
      <c r="D2" s="287" t="s">
        <v>47</v>
      </c>
    </row>
    <row r="3" spans="1:4" x14ac:dyDescent="0.25">
      <c r="A3" s="755"/>
      <c r="B3" s="288" t="s">
        <v>1241</v>
      </c>
      <c r="C3" s="289" t="s">
        <v>648</v>
      </c>
      <c r="D3" s="759" t="s">
        <v>2541</v>
      </c>
    </row>
    <row r="4" spans="1:4" x14ac:dyDescent="0.25">
      <c r="A4" s="755"/>
      <c r="B4" s="288" t="s">
        <v>1242</v>
      </c>
      <c r="C4" s="289" t="s">
        <v>1750</v>
      </c>
      <c r="D4" s="759"/>
    </row>
    <row r="5" spans="1:4" ht="15.75" thickBot="1" x14ac:dyDescent="0.3">
      <c r="A5" s="756"/>
      <c r="B5" s="290" t="s">
        <v>2539</v>
      </c>
      <c r="C5" s="291" t="s">
        <v>52</v>
      </c>
      <c r="D5" s="760"/>
    </row>
    <row r="6" spans="1:4" x14ac:dyDescent="0.25">
      <c r="A6" s="754">
        <v>2</v>
      </c>
      <c r="B6" s="285" t="s">
        <v>1239</v>
      </c>
      <c r="C6" s="286" t="s">
        <v>2080</v>
      </c>
      <c r="D6" s="287" t="s">
        <v>47</v>
      </c>
    </row>
    <row r="7" spans="1:4" x14ac:dyDescent="0.25">
      <c r="A7" s="755"/>
      <c r="B7" s="288" t="s">
        <v>1241</v>
      </c>
      <c r="C7" s="289" t="s">
        <v>650</v>
      </c>
      <c r="D7" s="759" t="s">
        <v>2542</v>
      </c>
    </row>
    <row r="8" spans="1:4" x14ac:dyDescent="0.25">
      <c r="A8" s="755"/>
      <c r="B8" s="288" t="s">
        <v>1242</v>
      </c>
      <c r="C8" s="289" t="s">
        <v>1750</v>
      </c>
      <c r="D8" s="759"/>
    </row>
    <row r="9" spans="1:4" ht="15.75" thickBot="1" x14ac:dyDescent="0.3">
      <c r="A9" s="756"/>
      <c r="B9" s="290" t="s">
        <v>2539</v>
      </c>
      <c r="C9" s="291" t="s">
        <v>52</v>
      </c>
      <c r="D9" s="760"/>
    </row>
    <row r="10" spans="1:4" x14ac:dyDescent="0.25">
      <c r="A10" s="754">
        <v>3</v>
      </c>
      <c r="B10" s="285" t="s">
        <v>1239</v>
      </c>
      <c r="C10" s="286" t="s">
        <v>2236</v>
      </c>
      <c r="D10" s="287" t="s">
        <v>47</v>
      </c>
    </row>
    <row r="11" spans="1:4" x14ac:dyDescent="0.25">
      <c r="A11" s="755"/>
      <c r="B11" s="288" t="s">
        <v>1241</v>
      </c>
      <c r="C11" s="289" t="s">
        <v>356</v>
      </c>
      <c r="D11" s="759" t="s">
        <v>2543</v>
      </c>
    </row>
    <row r="12" spans="1:4" x14ac:dyDescent="0.25">
      <c r="A12" s="755"/>
      <c r="B12" s="288" t="s">
        <v>1242</v>
      </c>
      <c r="C12" s="289" t="s">
        <v>1750</v>
      </c>
      <c r="D12" s="759"/>
    </row>
    <row r="13" spans="1:4" ht="15.75" thickBot="1" x14ac:dyDescent="0.3">
      <c r="A13" s="756"/>
      <c r="B13" s="290" t="s">
        <v>2539</v>
      </c>
      <c r="C13" s="291" t="s">
        <v>52</v>
      </c>
      <c r="D13" s="760"/>
    </row>
    <row r="14" spans="1:4" x14ac:dyDescent="0.25">
      <c r="A14" s="754">
        <v>4</v>
      </c>
      <c r="B14" s="285" t="s">
        <v>1239</v>
      </c>
      <c r="C14" s="286" t="s">
        <v>2260</v>
      </c>
      <c r="D14" s="287" t="s">
        <v>47</v>
      </c>
    </row>
    <row r="15" spans="1:4" ht="22.5" x14ac:dyDescent="0.25">
      <c r="A15" s="755"/>
      <c r="B15" s="288" t="s">
        <v>1241</v>
      </c>
      <c r="C15" s="289" t="s">
        <v>1090</v>
      </c>
      <c r="D15" s="759" t="s">
        <v>2544</v>
      </c>
    </row>
    <row r="16" spans="1:4" x14ac:dyDescent="0.25">
      <c r="A16" s="755"/>
      <c r="B16" s="288" t="s">
        <v>1242</v>
      </c>
      <c r="C16" s="289" t="s">
        <v>1750</v>
      </c>
      <c r="D16" s="759"/>
    </row>
    <row r="17" spans="1:4" ht="15.75" thickBot="1" x14ac:dyDescent="0.3">
      <c r="A17" s="756"/>
      <c r="B17" s="290" t="s">
        <v>2539</v>
      </c>
      <c r="C17" s="291" t="s">
        <v>52</v>
      </c>
      <c r="D17" s="760"/>
    </row>
    <row r="18" spans="1:4" x14ac:dyDescent="0.25">
      <c r="A18" s="754">
        <v>5</v>
      </c>
      <c r="B18" s="285" t="s">
        <v>1239</v>
      </c>
      <c r="C18" s="286" t="s">
        <v>2265</v>
      </c>
      <c r="D18" s="287" t="s">
        <v>47</v>
      </c>
    </row>
    <row r="19" spans="1:4" x14ac:dyDescent="0.25">
      <c r="A19" s="755"/>
      <c r="B19" s="288" t="s">
        <v>1241</v>
      </c>
      <c r="C19" s="289" t="s">
        <v>687</v>
      </c>
      <c r="D19" s="759" t="s">
        <v>2545</v>
      </c>
    </row>
    <row r="20" spans="1:4" x14ac:dyDescent="0.25">
      <c r="A20" s="755"/>
      <c r="B20" s="288" t="s">
        <v>1242</v>
      </c>
      <c r="C20" s="289" t="s">
        <v>1750</v>
      </c>
      <c r="D20" s="759"/>
    </row>
    <row r="21" spans="1:4" ht="15.75" thickBot="1" x14ac:dyDescent="0.3">
      <c r="A21" s="756"/>
      <c r="B21" s="290" t="s">
        <v>2539</v>
      </c>
      <c r="C21" s="291" t="s">
        <v>52</v>
      </c>
      <c r="D21" s="760"/>
    </row>
    <row r="22" spans="1:4" x14ac:dyDescent="0.25">
      <c r="A22" s="754">
        <v>6</v>
      </c>
      <c r="B22" s="285" t="s">
        <v>1239</v>
      </c>
      <c r="C22" s="286" t="s">
        <v>2252</v>
      </c>
      <c r="D22" s="287" t="s">
        <v>47</v>
      </c>
    </row>
    <row r="23" spans="1:4" ht="22.5" x14ac:dyDescent="0.25">
      <c r="A23" s="755"/>
      <c r="B23" s="288" t="s">
        <v>1241</v>
      </c>
      <c r="C23" s="289" t="s">
        <v>347</v>
      </c>
      <c r="D23" s="759" t="s">
        <v>2546</v>
      </c>
    </row>
    <row r="24" spans="1:4" x14ac:dyDescent="0.25">
      <c r="A24" s="755"/>
      <c r="B24" s="288" t="s">
        <v>1242</v>
      </c>
      <c r="C24" s="289" t="s">
        <v>1750</v>
      </c>
      <c r="D24" s="759"/>
    </row>
    <row r="25" spans="1:4" ht="15.75" thickBot="1" x14ac:dyDescent="0.3">
      <c r="A25" s="756"/>
      <c r="B25" s="290" t="s">
        <v>2539</v>
      </c>
      <c r="C25" s="291" t="s">
        <v>52</v>
      </c>
      <c r="D25" s="760"/>
    </row>
    <row r="26" spans="1:4" x14ac:dyDescent="0.25">
      <c r="A26" s="754">
        <v>7</v>
      </c>
      <c r="B26" s="285" t="s">
        <v>1239</v>
      </c>
      <c r="C26" s="286" t="s">
        <v>2277</v>
      </c>
      <c r="D26" s="287" t="s">
        <v>47</v>
      </c>
    </row>
    <row r="27" spans="1:4" ht="22.5" x14ac:dyDescent="0.25">
      <c r="A27" s="755"/>
      <c r="B27" s="288" t="s">
        <v>1241</v>
      </c>
      <c r="C27" s="289" t="s">
        <v>360</v>
      </c>
      <c r="D27" s="759" t="s">
        <v>2547</v>
      </c>
    </row>
    <row r="28" spans="1:4" x14ac:dyDescent="0.25">
      <c r="A28" s="755"/>
      <c r="B28" s="288" t="s">
        <v>1242</v>
      </c>
      <c r="C28" s="289" t="s">
        <v>1750</v>
      </c>
      <c r="D28" s="759"/>
    </row>
    <row r="29" spans="1:4" ht="15.75" thickBot="1" x14ac:dyDescent="0.3">
      <c r="A29" s="756"/>
      <c r="B29" s="290" t="s">
        <v>2539</v>
      </c>
      <c r="C29" s="291" t="s">
        <v>52</v>
      </c>
      <c r="D29" s="760"/>
    </row>
    <row r="30" spans="1:4" x14ac:dyDescent="0.25">
      <c r="A30" s="754">
        <v>8</v>
      </c>
      <c r="B30" s="285" t="s">
        <v>1239</v>
      </c>
      <c r="C30" s="286" t="s">
        <v>4326</v>
      </c>
      <c r="D30" s="287" t="s">
        <v>47</v>
      </c>
    </row>
    <row r="31" spans="1:4" ht="22.5" x14ac:dyDescent="0.25">
      <c r="A31" s="755"/>
      <c r="B31" s="288" t="s">
        <v>1241</v>
      </c>
      <c r="C31" s="289" t="s">
        <v>4713</v>
      </c>
      <c r="D31" s="759" t="s">
        <v>2548</v>
      </c>
    </row>
    <row r="32" spans="1:4" x14ac:dyDescent="0.25">
      <c r="A32" s="755"/>
      <c r="B32" s="288" t="s">
        <v>1242</v>
      </c>
      <c r="C32" s="289" t="s">
        <v>1750</v>
      </c>
      <c r="D32" s="759"/>
    </row>
    <row r="33" spans="1:4" ht="15.75" thickBot="1" x14ac:dyDescent="0.3">
      <c r="A33" s="756"/>
      <c r="B33" s="290" t="s">
        <v>2539</v>
      </c>
      <c r="C33" s="291" t="s">
        <v>52</v>
      </c>
      <c r="D33" s="760"/>
    </row>
    <row r="34" spans="1:4" x14ac:dyDescent="0.25">
      <c r="A34" s="754">
        <v>9</v>
      </c>
      <c r="B34" s="285" t="s">
        <v>1239</v>
      </c>
      <c r="C34" s="286" t="s">
        <v>4209</v>
      </c>
      <c r="D34" s="287" t="s">
        <v>47</v>
      </c>
    </row>
    <row r="35" spans="1:4" x14ac:dyDescent="0.25">
      <c r="A35" s="755"/>
      <c r="B35" s="288" t="s">
        <v>1241</v>
      </c>
      <c r="C35" s="289" t="s">
        <v>3761</v>
      </c>
      <c r="D35" s="759" t="s">
        <v>4714</v>
      </c>
    </row>
    <row r="36" spans="1:4" x14ac:dyDescent="0.25">
      <c r="A36" s="755"/>
      <c r="B36" s="288" t="s">
        <v>1242</v>
      </c>
      <c r="C36" s="289" t="s">
        <v>1750</v>
      </c>
      <c r="D36" s="759"/>
    </row>
    <row r="37" spans="1:4" ht="15.75" thickBot="1" x14ac:dyDescent="0.3">
      <c r="A37" s="756"/>
      <c r="B37" s="290" t="s">
        <v>2539</v>
      </c>
      <c r="C37" s="291" t="s">
        <v>52</v>
      </c>
      <c r="D37" s="760"/>
    </row>
    <row r="38" spans="1:4" x14ac:dyDescent="0.25">
      <c r="A38" s="754">
        <v>10</v>
      </c>
      <c r="B38" s="285" t="s">
        <v>1239</v>
      </c>
      <c r="C38" s="286" t="s">
        <v>2062</v>
      </c>
      <c r="D38" s="287" t="s">
        <v>47</v>
      </c>
    </row>
    <row r="39" spans="1:4" x14ac:dyDescent="0.25">
      <c r="A39" s="755"/>
      <c r="B39" s="288" t="s">
        <v>1241</v>
      </c>
      <c r="C39" s="289" t="s">
        <v>646</v>
      </c>
      <c r="D39" s="759" t="s">
        <v>2549</v>
      </c>
    </row>
    <row r="40" spans="1:4" x14ac:dyDescent="0.25">
      <c r="A40" s="755"/>
      <c r="B40" s="288" t="s">
        <v>1242</v>
      </c>
      <c r="C40" s="289" t="s">
        <v>1750</v>
      </c>
      <c r="D40" s="759"/>
    </row>
    <row r="41" spans="1:4" ht="15.75" thickBot="1" x14ac:dyDescent="0.3">
      <c r="A41" s="756"/>
      <c r="B41" s="290" t="s">
        <v>2539</v>
      </c>
      <c r="C41" s="291" t="s">
        <v>52</v>
      </c>
      <c r="D41" s="760"/>
    </row>
    <row r="42" spans="1:4" x14ac:dyDescent="0.25">
      <c r="A42" s="754">
        <v>11</v>
      </c>
      <c r="B42" s="285" t="s">
        <v>1239</v>
      </c>
      <c r="C42" s="286" t="s">
        <v>4786</v>
      </c>
      <c r="D42" s="287" t="s">
        <v>47</v>
      </c>
    </row>
    <row r="43" spans="1:4" ht="22.5" x14ac:dyDescent="0.25">
      <c r="A43" s="755"/>
      <c r="B43" s="288" t="s">
        <v>1241</v>
      </c>
      <c r="C43" s="289" t="s">
        <v>3369</v>
      </c>
      <c r="D43" s="759" t="s">
        <v>2548</v>
      </c>
    </row>
    <row r="44" spans="1:4" x14ac:dyDescent="0.25">
      <c r="A44" s="755"/>
      <c r="B44" s="288" t="s">
        <v>1242</v>
      </c>
      <c r="C44" s="289" t="s">
        <v>1750</v>
      </c>
      <c r="D44" s="759"/>
    </row>
    <row r="45" spans="1:4" ht="15.75" thickBot="1" x14ac:dyDescent="0.3">
      <c r="A45" s="756"/>
      <c r="B45" s="290" t="s">
        <v>2539</v>
      </c>
      <c r="C45" s="291" t="s">
        <v>52</v>
      </c>
      <c r="D45" s="760"/>
    </row>
    <row r="46" spans="1:4" x14ac:dyDescent="0.25">
      <c r="A46" s="754">
        <v>12</v>
      </c>
      <c r="B46" s="285" t="s">
        <v>1239</v>
      </c>
      <c r="C46" s="286" t="s">
        <v>4220</v>
      </c>
      <c r="D46" s="287" t="s">
        <v>47</v>
      </c>
    </row>
    <row r="47" spans="1:4" x14ac:dyDescent="0.25">
      <c r="A47" s="755"/>
      <c r="B47" s="288" t="s">
        <v>1241</v>
      </c>
      <c r="C47" s="289" t="s">
        <v>3763</v>
      </c>
      <c r="D47" s="759" t="s">
        <v>4715</v>
      </c>
    </row>
    <row r="48" spans="1:4" x14ac:dyDescent="0.25">
      <c r="A48" s="755"/>
      <c r="B48" s="288" t="s">
        <v>1242</v>
      </c>
      <c r="C48" s="289" t="s">
        <v>1750</v>
      </c>
      <c r="D48" s="759"/>
    </row>
    <row r="49" spans="1:4" ht="15.75" thickBot="1" x14ac:dyDescent="0.3">
      <c r="A49" s="756"/>
      <c r="B49" s="290" t="s">
        <v>2539</v>
      </c>
      <c r="C49" s="291" t="s">
        <v>52</v>
      </c>
      <c r="D49" s="760"/>
    </row>
    <row r="50" spans="1:4" x14ac:dyDescent="0.25">
      <c r="A50" s="754">
        <v>13</v>
      </c>
      <c r="B50" s="285" t="s">
        <v>1239</v>
      </c>
      <c r="C50" s="286" t="s">
        <v>2149</v>
      </c>
      <c r="D50" s="287" t="s">
        <v>47</v>
      </c>
    </row>
    <row r="51" spans="1:4" ht="45" x14ac:dyDescent="0.25">
      <c r="A51" s="755"/>
      <c r="B51" s="288" t="s">
        <v>1241</v>
      </c>
      <c r="C51" s="289" t="s">
        <v>2150</v>
      </c>
      <c r="D51" s="759" t="s">
        <v>4716</v>
      </c>
    </row>
    <row r="52" spans="1:4" x14ac:dyDescent="0.25">
      <c r="A52" s="755"/>
      <c r="B52" s="288" t="s">
        <v>1242</v>
      </c>
      <c r="C52" s="289" t="s">
        <v>1364</v>
      </c>
      <c r="D52" s="759"/>
    </row>
    <row r="53" spans="1:4" ht="15.75" thickBot="1" x14ac:dyDescent="0.3">
      <c r="A53" s="756"/>
      <c r="B53" s="290" t="s">
        <v>2539</v>
      </c>
      <c r="C53" s="291" t="s">
        <v>71</v>
      </c>
      <c r="D53" s="760"/>
    </row>
    <row r="54" spans="1:4" x14ac:dyDescent="0.25">
      <c r="A54" s="754">
        <v>14</v>
      </c>
      <c r="B54" s="285" t="s">
        <v>1239</v>
      </c>
      <c r="C54" s="286" t="s">
        <v>2153</v>
      </c>
      <c r="D54" s="287" t="s">
        <v>47</v>
      </c>
    </row>
    <row r="55" spans="1:4" ht="45" x14ac:dyDescent="0.25">
      <c r="A55" s="755"/>
      <c r="B55" s="288" t="s">
        <v>1241</v>
      </c>
      <c r="C55" s="289" t="s">
        <v>2154</v>
      </c>
      <c r="D55" s="759" t="s">
        <v>4717</v>
      </c>
    </row>
    <row r="56" spans="1:4" x14ac:dyDescent="0.25">
      <c r="A56" s="755"/>
      <c r="B56" s="288" t="s">
        <v>1242</v>
      </c>
      <c r="C56" s="289" t="s">
        <v>1364</v>
      </c>
      <c r="D56" s="759"/>
    </row>
    <row r="57" spans="1:4" ht="15.75" thickBot="1" x14ac:dyDescent="0.3">
      <c r="A57" s="756"/>
      <c r="B57" s="290" t="s">
        <v>2539</v>
      </c>
      <c r="C57" s="291" t="s">
        <v>71</v>
      </c>
      <c r="D57" s="760"/>
    </row>
    <row r="58" spans="1:4" x14ac:dyDescent="0.25">
      <c r="A58" s="754">
        <v>15</v>
      </c>
      <c r="B58" s="285" t="s">
        <v>1239</v>
      </c>
      <c r="C58" s="286" t="s">
        <v>2138</v>
      </c>
      <c r="D58" s="287" t="s">
        <v>47</v>
      </c>
    </row>
    <row r="59" spans="1:4" ht="45" x14ac:dyDescent="0.25">
      <c r="A59" s="755"/>
      <c r="B59" s="288" t="s">
        <v>1241</v>
      </c>
      <c r="C59" s="289" t="s">
        <v>2139</v>
      </c>
      <c r="D59" s="759" t="s">
        <v>4718</v>
      </c>
    </row>
    <row r="60" spans="1:4" x14ac:dyDescent="0.25">
      <c r="A60" s="755"/>
      <c r="B60" s="288" t="s">
        <v>1242</v>
      </c>
      <c r="C60" s="289" t="s">
        <v>1364</v>
      </c>
      <c r="D60" s="759"/>
    </row>
    <row r="61" spans="1:4" ht="15.75" thickBot="1" x14ac:dyDescent="0.3">
      <c r="A61" s="756"/>
      <c r="B61" s="290" t="s">
        <v>2539</v>
      </c>
      <c r="C61" s="291" t="s">
        <v>71</v>
      </c>
      <c r="D61" s="760"/>
    </row>
    <row r="62" spans="1:4" x14ac:dyDescent="0.25">
      <c r="A62" s="754">
        <v>16</v>
      </c>
      <c r="B62" s="285" t="s">
        <v>1239</v>
      </c>
      <c r="C62" s="286" t="s">
        <v>2142</v>
      </c>
      <c r="D62" s="287" t="s">
        <v>47</v>
      </c>
    </row>
    <row r="63" spans="1:4" ht="45" x14ac:dyDescent="0.25">
      <c r="A63" s="755"/>
      <c r="B63" s="288" t="s">
        <v>1241</v>
      </c>
      <c r="C63" s="289" t="s">
        <v>2143</v>
      </c>
      <c r="D63" s="759" t="s">
        <v>4719</v>
      </c>
    </row>
    <row r="64" spans="1:4" x14ac:dyDescent="0.25">
      <c r="A64" s="755"/>
      <c r="B64" s="288" t="s">
        <v>1242</v>
      </c>
      <c r="C64" s="289" t="s">
        <v>1364</v>
      </c>
      <c r="D64" s="759"/>
    </row>
    <row r="65" spans="1:4" ht="15.75" thickBot="1" x14ac:dyDescent="0.3">
      <c r="A65" s="756"/>
      <c r="B65" s="290" t="s">
        <v>2539</v>
      </c>
      <c r="C65" s="291" t="s">
        <v>71</v>
      </c>
      <c r="D65" s="760"/>
    </row>
    <row r="66" spans="1:4" x14ac:dyDescent="0.25">
      <c r="A66" s="754">
        <v>17</v>
      </c>
      <c r="B66" s="285" t="s">
        <v>1239</v>
      </c>
      <c r="C66" s="286" t="s">
        <v>2146</v>
      </c>
      <c r="D66" s="287" t="s">
        <v>47</v>
      </c>
    </row>
    <row r="67" spans="1:4" ht="45" x14ac:dyDescent="0.25">
      <c r="A67" s="755"/>
      <c r="B67" s="288" t="s">
        <v>1241</v>
      </c>
      <c r="C67" s="289" t="s">
        <v>2147</v>
      </c>
      <c r="D67" s="759" t="s">
        <v>4720</v>
      </c>
    </row>
    <row r="68" spans="1:4" x14ac:dyDescent="0.25">
      <c r="A68" s="755"/>
      <c r="B68" s="288" t="s">
        <v>1242</v>
      </c>
      <c r="C68" s="289" t="s">
        <v>1364</v>
      </c>
      <c r="D68" s="759"/>
    </row>
    <row r="69" spans="1:4" ht="15.75" thickBot="1" x14ac:dyDescent="0.3">
      <c r="A69" s="756"/>
      <c r="B69" s="290" t="s">
        <v>2539</v>
      </c>
      <c r="C69" s="291" t="s">
        <v>71</v>
      </c>
      <c r="D69" s="760"/>
    </row>
    <row r="70" spans="1:4" x14ac:dyDescent="0.25">
      <c r="A70" s="754">
        <v>18</v>
      </c>
      <c r="B70" s="285" t="s">
        <v>1239</v>
      </c>
      <c r="C70" s="286" t="s">
        <v>4138</v>
      </c>
      <c r="D70" s="287" t="s">
        <v>47</v>
      </c>
    </row>
    <row r="71" spans="1:4" ht="33.75" x14ac:dyDescent="0.25">
      <c r="A71" s="755"/>
      <c r="B71" s="288" t="s">
        <v>1241</v>
      </c>
      <c r="C71" s="289" t="s">
        <v>3075</v>
      </c>
      <c r="D71" s="759" t="s">
        <v>4721</v>
      </c>
    </row>
    <row r="72" spans="1:4" x14ac:dyDescent="0.25">
      <c r="A72" s="755"/>
      <c r="B72" s="288" t="s">
        <v>1242</v>
      </c>
      <c r="C72" s="289" t="s">
        <v>1364</v>
      </c>
      <c r="D72" s="759"/>
    </row>
    <row r="73" spans="1:4" ht="15.75" thickBot="1" x14ac:dyDescent="0.3">
      <c r="A73" s="756"/>
      <c r="B73" s="290" t="s">
        <v>2539</v>
      </c>
      <c r="C73" s="291" t="s">
        <v>103</v>
      </c>
      <c r="D73" s="760"/>
    </row>
    <row r="74" spans="1:4" x14ac:dyDescent="0.25">
      <c r="A74" s="754">
        <v>19</v>
      </c>
      <c r="B74" s="285" t="s">
        <v>1239</v>
      </c>
      <c r="C74" s="286" t="s">
        <v>1439</v>
      </c>
      <c r="D74" s="287" t="s">
        <v>47</v>
      </c>
    </row>
    <row r="75" spans="1:4" ht="22.5" x14ac:dyDescent="0.25">
      <c r="A75" s="755"/>
      <c r="B75" s="288" t="s">
        <v>1241</v>
      </c>
      <c r="C75" s="289" t="s">
        <v>264</v>
      </c>
      <c r="D75" s="759" t="s">
        <v>2550</v>
      </c>
    </row>
    <row r="76" spans="1:4" x14ac:dyDescent="0.25">
      <c r="A76" s="755"/>
      <c r="B76" s="288" t="s">
        <v>1242</v>
      </c>
      <c r="C76" s="289" t="s">
        <v>1364</v>
      </c>
      <c r="D76" s="759"/>
    </row>
    <row r="77" spans="1:4" ht="15.75" thickBot="1" x14ac:dyDescent="0.3">
      <c r="A77" s="756"/>
      <c r="B77" s="290" t="s">
        <v>2539</v>
      </c>
      <c r="C77" s="291" t="s">
        <v>71</v>
      </c>
      <c r="D77" s="760"/>
    </row>
    <row r="78" spans="1:4" x14ac:dyDescent="0.25">
      <c r="A78" s="754">
        <v>20</v>
      </c>
      <c r="B78" s="285" t="s">
        <v>1239</v>
      </c>
      <c r="C78" s="286" t="s">
        <v>1474</v>
      </c>
      <c r="D78" s="287" t="s">
        <v>47</v>
      </c>
    </row>
    <row r="79" spans="1:4" x14ac:dyDescent="0.25">
      <c r="A79" s="755"/>
      <c r="B79" s="288" t="s">
        <v>1241</v>
      </c>
      <c r="C79" s="289" t="s">
        <v>266</v>
      </c>
      <c r="D79" s="759" t="s">
        <v>2551</v>
      </c>
    </row>
    <row r="80" spans="1:4" x14ac:dyDescent="0.25">
      <c r="A80" s="755"/>
      <c r="B80" s="288" t="s">
        <v>1242</v>
      </c>
      <c r="C80" s="289" t="s">
        <v>1364</v>
      </c>
      <c r="D80" s="759"/>
    </row>
    <row r="81" spans="1:4" ht="15.75" thickBot="1" x14ac:dyDescent="0.3">
      <c r="A81" s="756"/>
      <c r="B81" s="290" t="s">
        <v>2539</v>
      </c>
      <c r="C81" s="291" t="s">
        <v>71</v>
      </c>
      <c r="D81" s="760"/>
    </row>
    <row r="82" spans="1:4" x14ac:dyDescent="0.25">
      <c r="A82" s="754">
        <v>21</v>
      </c>
      <c r="B82" s="285" t="s">
        <v>1239</v>
      </c>
      <c r="C82" s="286" t="s">
        <v>3991</v>
      </c>
      <c r="D82" s="287" t="s">
        <v>47</v>
      </c>
    </row>
    <row r="83" spans="1:4" x14ac:dyDescent="0.25">
      <c r="A83" s="755"/>
      <c r="B83" s="288" t="s">
        <v>1241</v>
      </c>
      <c r="C83" s="289" t="s">
        <v>2765</v>
      </c>
      <c r="D83" s="759" t="s">
        <v>4722</v>
      </c>
    </row>
    <row r="84" spans="1:4" x14ac:dyDescent="0.25">
      <c r="A84" s="755"/>
      <c r="B84" s="288" t="s">
        <v>1242</v>
      </c>
      <c r="C84" s="289" t="s">
        <v>1395</v>
      </c>
      <c r="D84" s="759"/>
    </row>
    <row r="85" spans="1:4" ht="15.75" thickBot="1" x14ac:dyDescent="0.3">
      <c r="A85" s="756"/>
      <c r="B85" s="290" t="s">
        <v>2539</v>
      </c>
      <c r="C85" s="291" t="s">
        <v>103</v>
      </c>
      <c r="D85" s="760"/>
    </row>
    <row r="86" spans="1:4" x14ac:dyDescent="0.25">
      <c r="A86" s="754">
        <v>22</v>
      </c>
      <c r="B86" s="285" t="s">
        <v>1239</v>
      </c>
      <c r="C86" s="286" t="s">
        <v>1869</v>
      </c>
      <c r="D86" s="287" t="s">
        <v>47</v>
      </c>
    </row>
    <row r="87" spans="1:4" x14ac:dyDescent="0.25">
      <c r="A87" s="755"/>
      <c r="B87" s="288" t="s">
        <v>1241</v>
      </c>
      <c r="C87" s="289" t="s">
        <v>298</v>
      </c>
      <c r="D87" s="759" t="s">
        <v>2553</v>
      </c>
    </row>
    <row r="88" spans="1:4" x14ac:dyDescent="0.25">
      <c r="A88" s="755"/>
      <c r="B88" s="288" t="s">
        <v>1242</v>
      </c>
      <c r="C88" s="289" t="s">
        <v>1385</v>
      </c>
      <c r="D88" s="759"/>
    </row>
    <row r="89" spans="1:4" ht="15.75" thickBot="1" x14ac:dyDescent="0.3">
      <c r="A89" s="756"/>
      <c r="B89" s="290" t="s">
        <v>2539</v>
      </c>
      <c r="C89" s="291" t="s">
        <v>104</v>
      </c>
      <c r="D89" s="760"/>
    </row>
    <row r="90" spans="1:4" x14ac:dyDescent="0.25">
      <c r="A90" s="754">
        <v>23</v>
      </c>
      <c r="B90" s="285" t="s">
        <v>1239</v>
      </c>
      <c r="C90" s="286" t="s">
        <v>1796</v>
      </c>
      <c r="D90" s="287" t="s">
        <v>47</v>
      </c>
    </row>
    <row r="91" spans="1:4" ht="45" x14ac:dyDescent="0.25">
      <c r="A91" s="755"/>
      <c r="B91" s="288" t="s">
        <v>1241</v>
      </c>
      <c r="C91" s="289" t="s">
        <v>563</v>
      </c>
      <c r="D91" s="759" t="s">
        <v>2554</v>
      </c>
    </row>
    <row r="92" spans="1:4" x14ac:dyDescent="0.25">
      <c r="A92" s="755"/>
      <c r="B92" s="288" t="s">
        <v>1242</v>
      </c>
      <c r="C92" s="289" t="s">
        <v>1353</v>
      </c>
      <c r="D92" s="759"/>
    </row>
    <row r="93" spans="1:4" ht="15.75" thickBot="1" x14ac:dyDescent="0.3">
      <c r="A93" s="756"/>
      <c r="B93" s="290" t="s">
        <v>2539</v>
      </c>
      <c r="C93" s="291" t="s">
        <v>52</v>
      </c>
      <c r="D93" s="760"/>
    </row>
    <row r="94" spans="1:4" x14ac:dyDescent="0.25">
      <c r="A94" s="754">
        <v>24</v>
      </c>
      <c r="B94" s="285" t="s">
        <v>1239</v>
      </c>
      <c r="C94" s="286" t="s">
        <v>1415</v>
      </c>
      <c r="D94" s="287" t="s">
        <v>47</v>
      </c>
    </row>
    <row r="95" spans="1:4" x14ac:dyDescent="0.25">
      <c r="A95" s="755"/>
      <c r="B95" s="288" t="s">
        <v>1241</v>
      </c>
      <c r="C95" s="289" t="s">
        <v>421</v>
      </c>
      <c r="D95" s="759" t="s">
        <v>2555</v>
      </c>
    </row>
    <row r="96" spans="1:4" x14ac:dyDescent="0.25">
      <c r="A96" s="755"/>
      <c r="B96" s="288" t="s">
        <v>1242</v>
      </c>
      <c r="C96" s="289" t="s">
        <v>1252</v>
      </c>
      <c r="D96" s="759"/>
    </row>
    <row r="97" spans="1:4" ht="15.75" thickBot="1" x14ac:dyDescent="0.3">
      <c r="A97" s="756"/>
      <c r="B97" s="290" t="s">
        <v>2539</v>
      </c>
      <c r="C97" s="291" t="s">
        <v>104</v>
      </c>
      <c r="D97" s="760"/>
    </row>
    <row r="98" spans="1:4" x14ac:dyDescent="0.25">
      <c r="A98" s="754">
        <v>25</v>
      </c>
      <c r="B98" s="285" t="s">
        <v>1239</v>
      </c>
      <c r="C98" s="286" t="s">
        <v>1539</v>
      </c>
      <c r="D98" s="287" t="s">
        <v>47</v>
      </c>
    </row>
    <row r="99" spans="1:4" ht="33.75" x14ac:dyDescent="0.25">
      <c r="A99" s="755"/>
      <c r="B99" s="288" t="s">
        <v>1241</v>
      </c>
      <c r="C99" s="289" t="s">
        <v>512</v>
      </c>
      <c r="D99" s="759" t="s">
        <v>2556</v>
      </c>
    </row>
    <row r="100" spans="1:4" x14ac:dyDescent="0.25">
      <c r="A100" s="755"/>
      <c r="B100" s="288" t="s">
        <v>1242</v>
      </c>
      <c r="C100" s="289" t="s">
        <v>1351</v>
      </c>
      <c r="D100" s="759"/>
    </row>
    <row r="101" spans="1:4" ht="15.75" thickBot="1" x14ac:dyDescent="0.3">
      <c r="A101" s="756"/>
      <c r="B101" s="290" t="s">
        <v>2539</v>
      </c>
      <c r="C101" s="291" t="s">
        <v>103</v>
      </c>
      <c r="D101" s="760"/>
    </row>
    <row r="102" spans="1:4" x14ac:dyDescent="0.25">
      <c r="A102" s="754">
        <v>26</v>
      </c>
      <c r="B102" s="285" t="s">
        <v>1239</v>
      </c>
      <c r="C102" s="286" t="s">
        <v>3947</v>
      </c>
      <c r="D102" s="287" t="s">
        <v>47</v>
      </c>
    </row>
    <row r="103" spans="1:4" ht="22.5" x14ac:dyDescent="0.25">
      <c r="A103" s="755"/>
      <c r="B103" s="288" t="s">
        <v>1241</v>
      </c>
      <c r="C103" s="289" t="s">
        <v>2708</v>
      </c>
      <c r="D103" s="759" t="s">
        <v>2557</v>
      </c>
    </row>
    <row r="104" spans="1:4" x14ac:dyDescent="0.25">
      <c r="A104" s="755"/>
      <c r="B104" s="288" t="s">
        <v>1242</v>
      </c>
      <c r="C104" s="289" t="s">
        <v>1353</v>
      </c>
      <c r="D104" s="759"/>
    </row>
    <row r="105" spans="1:4" ht="15.75" thickBot="1" x14ac:dyDescent="0.3">
      <c r="A105" s="756"/>
      <c r="B105" s="290" t="s">
        <v>2539</v>
      </c>
      <c r="C105" s="291" t="s">
        <v>52</v>
      </c>
      <c r="D105" s="760"/>
    </row>
    <row r="106" spans="1:4" x14ac:dyDescent="0.25">
      <c r="A106" s="754">
        <v>27</v>
      </c>
      <c r="B106" s="285" t="s">
        <v>1239</v>
      </c>
      <c r="C106" s="286" t="s">
        <v>3965</v>
      </c>
      <c r="D106" s="287" t="s">
        <v>47</v>
      </c>
    </row>
    <row r="107" spans="1:4" ht="22.5" x14ac:dyDescent="0.25">
      <c r="A107" s="755"/>
      <c r="B107" s="288" t="s">
        <v>1241</v>
      </c>
      <c r="C107" s="289" t="s">
        <v>2710</v>
      </c>
      <c r="D107" s="759" t="s">
        <v>2557</v>
      </c>
    </row>
    <row r="108" spans="1:4" x14ac:dyDescent="0.25">
      <c r="A108" s="755"/>
      <c r="B108" s="288" t="s">
        <v>1242</v>
      </c>
      <c r="C108" s="289" t="s">
        <v>1353</v>
      </c>
      <c r="D108" s="759"/>
    </row>
    <row r="109" spans="1:4" ht="15.75" thickBot="1" x14ac:dyDescent="0.3">
      <c r="A109" s="756"/>
      <c r="B109" s="290" t="s">
        <v>2539</v>
      </c>
      <c r="C109" s="291" t="s">
        <v>52</v>
      </c>
      <c r="D109" s="760"/>
    </row>
    <row r="110" spans="1:4" x14ac:dyDescent="0.25">
      <c r="A110" s="754">
        <v>28</v>
      </c>
      <c r="B110" s="285" t="s">
        <v>1239</v>
      </c>
      <c r="C110" s="286" t="s">
        <v>1639</v>
      </c>
      <c r="D110" s="287" t="s">
        <v>47</v>
      </c>
    </row>
    <row r="111" spans="1:4" ht="22.5" x14ac:dyDescent="0.25">
      <c r="A111" s="755"/>
      <c r="B111" s="288" t="s">
        <v>1241</v>
      </c>
      <c r="C111" s="289" t="s">
        <v>419</v>
      </c>
      <c r="D111" s="759" t="s">
        <v>2558</v>
      </c>
    </row>
    <row r="112" spans="1:4" x14ac:dyDescent="0.25">
      <c r="A112" s="755"/>
      <c r="B112" s="288" t="s">
        <v>1242</v>
      </c>
      <c r="C112" s="289" t="s">
        <v>2559</v>
      </c>
      <c r="D112" s="759"/>
    </row>
    <row r="113" spans="1:4" ht="15.75" thickBot="1" x14ac:dyDescent="0.3">
      <c r="A113" s="756"/>
      <c r="B113" s="290" t="s">
        <v>2539</v>
      </c>
      <c r="C113" s="291" t="s">
        <v>103</v>
      </c>
      <c r="D113" s="760"/>
    </row>
    <row r="114" spans="1:4" x14ac:dyDescent="0.25">
      <c r="A114" s="754">
        <v>29</v>
      </c>
      <c r="B114" s="285" t="s">
        <v>1239</v>
      </c>
      <c r="C114" s="286" t="s">
        <v>4102</v>
      </c>
      <c r="D114" s="287" t="s">
        <v>47</v>
      </c>
    </row>
    <row r="115" spans="1:4" ht="22.5" x14ac:dyDescent="0.25">
      <c r="A115" s="755"/>
      <c r="B115" s="288" t="s">
        <v>1241</v>
      </c>
      <c r="C115" s="289" t="s">
        <v>2966</v>
      </c>
      <c r="D115" s="759" t="s">
        <v>4723</v>
      </c>
    </row>
    <row r="116" spans="1:4" x14ac:dyDescent="0.25">
      <c r="A116" s="755"/>
      <c r="B116" s="288" t="s">
        <v>1242</v>
      </c>
      <c r="C116" s="289" t="s">
        <v>1395</v>
      </c>
      <c r="D116" s="759"/>
    </row>
    <row r="117" spans="1:4" ht="15.75" thickBot="1" x14ac:dyDescent="0.3">
      <c r="A117" s="756"/>
      <c r="B117" s="290" t="s">
        <v>2539</v>
      </c>
      <c r="C117" s="291" t="s">
        <v>103</v>
      </c>
      <c r="D117" s="760"/>
    </row>
    <row r="118" spans="1:4" x14ac:dyDescent="0.25">
      <c r="A118" s="754">
        <v>30</v>
      </c>
      <c r="B118" s="285" t="s">
        <v>1239</v>
      </c>
      <c r="C118" s="286" t="s">
        <v>4068</v>
      </c>
      <c r="D118" s="287" t="s">
        <v>47</v>
      </c>
    </row>
    <row r="119" spans="1:4" ht="22.5" x14ac:dyDescent="0.25">
      <c r="A119" s="755"/>
      <c r="B119" s="288" t="s">
        <v>1241</v>
      </c>
      <c r="C119" s="289" t="s">
        <v>2822</v>
      </c>
      <c r="D119" s="759" t="s">
        <v>4723</v>
      </c>
    </row>
    <row r="120" spans="1:4" x14ac:dyDescent="0.25">
      <c r="A120" s="755"/>
      <c r="B120" s="288" t="s">
        <v>1242</v>
      </c>
      <c r="C120" s="289" t="s">
        <v>1395</v>
      </c>
      <c r="D120" s="759"/>
    </row>
    <row r="121" spans="1:4" ht="15.75" thickBot="1" x14ac:dyDescent="0.3">
      <c r="A121" s="756"/>
      <c r="B121" s="290" t="s">
        <v>2539</v>
      </c>
      <c r="C121" s="291" t="s">
        <v>103</v>
      </c>
      <c r="D121" s="760"/>
    </row>
    <row r="122" spans="1:4" x14ac:dyDescent="0.25">
      <c r="A122" s="754">
        <v>31</v>
      </c>
      <c r="B122" s="285" t="s">
        <v>1239</v>
      </c>
      <c r="C122" s="286" t="s">
        <v>4099</v>
      </c>
      <c r="D122" s="287" t="s">
        <v>47</v>
      </c>
    </row>
    <row r="123" spans="1:4" ht="22.5" x14ac:dyDescent="0.25">
      <c r="A123" s="755"/>
      <c r="B123" s="288" t="s">
        <v>1241</v>
      </c>
      <c r="C123" s="289" t="s">
        <v>2964</v>
      </c>
      <c r="D123" s="759" t="s">
        <v>4723</v>
      </c>
    </row>
    <row r="124" spans="1:4" x14ac:dyDescent="0.25">
      <c r="A124" s="755"/>
      <c r="B124" s="288" t="s">
        <v>1242</v>
      </c>
      <c r="C124" s="289" t="s">
        <v>1395</v>
      </c>
      <c r="D124" s="759"/>
    </row>
    <row r="125" spans="1:4" ht="15.75" thickBot="1" x14ac:dyDescent="0.3">
      <c r="A125" s="756"/>
      <c r="B125" s="290" t="s">
        <v>2539</v>
      </c>
      <c r="C125" s="291" t="s">
        <v>103</v>
      </c>
      <c r="D125" s="760"/>
    </row>
    <row r="126" spans="1:4" x14ac:dyDescent="0.25">
      <c r="A126" s="754">
        <v>32</v>
      </c>
      <c r="B126" s="285" t="s">
        <v>1239</v>
      </c>
      <c r="C126" s="286" t="s">
        <v>1951</v>
      </c>
      <c r="D126" s="287" t="s">
        <v>47</v>
      </c>
    </row>
    <row r="127" spans="1:4" ht="22.5" x14ac:dyDescent="0.25">
      <c r="A127" s="755"/>
      <c r="B127" s="288" t="s">
        <v>1241</v>
      </c>
      <c r="C127" s="289" t="s">
        <v>386</v>
      </c>
      <c r="D127" s="759" t="s">
        <v>2560</v>
      </c>
    </row>
    <row r="128" spans="1:4" x14ac:dyDescent="0.25">
      <c r="A128" s="755"/>
      <c r="B128" s="288" t="s">
        <v>1242</v>
      </c>
      <c r="C128" s="289" t="s">
        <v>1252</v>
      </c>
      <c r="D128" s="759"/>
    </row>
    <row r="129" spans="1:4" ht="15.75" thickBot="1" x14ac:dyDescent="0.3">
      <c r="A129" s="756"/>
      <c r="B129" s="290" t="s">
        <v>2539</v>
      </c>
      <c r="C129" s="291" t="s">
        <v>52</v>
      </c>
      <c r="D129" s="760"/>
    </row>
    <row r="130" spans="1:4" x14ac:dyDescent="0.25">
      <c r="A130" s="754">
        <v>33</v>
      </c>
      <c r="B130" s="285" t="s">
        <v>1239</v>
      </c>
      <c r="C130" s="286" t="s">
        <v>1862</v>
      </c>
      <c r="D130" s="287" t="s">
        <v>47</v>
      </c>
    </row>
    <row r="131" spans="1:4" ht="22.5" x14ac:dyDescent="0.25">
      <c r="A131" s="755"/>
      <c r="B131" s="288" t="s">
        <v>1241</v>
      </c>
      <c r="C131" s="289" t="s">
        <v>463</v>
      </c>
      <c r="D131" s="759" t="s">
        <v>2561</v>
      </c>
    </row>
    <row r="132" spans="1:4" x14ac:dyDescent="0.25">
      <c r="A132" s="755"/>
      <c r="B132" s="288" t="s">
        <v>1242</v>
      </c>
      <c r="C132" s="289" t="s">
        <v>1252</v>
      </c>
      <c r="D132" s="759"/>
    </row>
    <row r="133" spans="1:4" ht="15.75" thickBot="1" x14ac:dyDescent="0.3">
      <c r="A133" s="756"/>
      <c r="B133" s="290" t="s">
        <v>2539</v>
      </c>
      <c r="C133" s="291" t="s">
        <v>52</v>
      </c>
      <c r="D133" s="760"/>
    </row>
    <row r="134" spans="1:4" x14ac:dyDescent="0.25">
      <c r="A134" s="754">
        <v>34</v>
      </c>
      <c r="B134" s="285" t="s">
        <v>1239</v>
      </c>
      <c r="C134" s="286" t="s">
        <v>2030</v>
      </c>
      <c r="D134" s="287" t="s">
        <v>47</v>
      </c>
    </row>
    <row r="135" spans="1:4" x14ac:dyDescent="0.25">
      <c r="A135" s="755"/>
      <c r="B135" s="288" t="s">
        <v>1241</v>
      </c>
      <c r="C135" s="289" t="s">
        <v>363</v>
      </c>
      <c r="D135" s="759" t="s">
        <v>2562</v>
      </c>
    </row>
    <row r="136" spans="1:4" ht="22.5" customHeight="1" x14ac:dyDescent="0.25">
      <c r="A136" s="755"/>
      <c r="B136" s="288" t="s">
        <v>1242</v>
      </c>
      <c r="C136" s="289" t="s">
        <v>1936</v>
      </c>
      <c r="D136" s="759"/>
    </row>
    <row r="137" spans="1:4" ht="15.75" thickBot="1" x14ac:dyDescent="0.3">
      <c r="A137" s="756"/>
      <c r="B137" s="290" t="s">
        <v>2539</v>
      </c>
      <c r="C137" s="291" t="s">
        <v>52</v>
      </c>
      <c r="D137" s="760"/>
    </row>
    <row r="138" spans="1:4" x14ac:dyDescent="0.25">
      <c r="A138" s="754">
        <v>35</v>
      </c>
      <c r="B138" s="285" t="s">
        <v>1239</v>
      </c>
      <c r="C138" s="286" t="s">
        <v>4649</v>
      </c>
      <c r="D138" s="287" t="s">
        <v>47</v>
      </c>
    </row>
    <row r="139" spans="1:4" ht="22.5" x14ac:dyDescent="0.25">
      <c r="A139" s="755"/>
      <c r="B139" s="288" t="s">
        <v>1241</v>
      </c>
      <c r="C139" s="289" t="s">
        <v>3680</v>
      </c>
      <c r="D139" s="759" t="s">
        <v>2562</v>
      </c>
    </row>
    <row r="140" spans="1:4" ht="22.5" customHeight="1" x14ac:dyDescent="0.25">
      <c r="A140" s="755"/>
      <c r="B140" s="288" t="s">
        <v>1242</v>
      </c>
      <c r="C140" s="289" t="s">
        <v>1936</v>
      </c>
      <c r="D140" s="759"/>
    </row>
    <row r="141" spans="1:4" ht="15.75" thickBot="1" x14ac:dyDescent="0.3">
      <c r="A141" s="756"/>
      <c r="B141" s="290" t="s">
        <v>2539</v>
      </c>
      <c r="C141" s="291" t="s">
        <v>52</v>
      </c>
      <c r="D141" s="760"/>
    </row>
    <row r="142" spans="1:4" x14ac:dyDescent="0.25">
      <c r="A142" s="754">
        <v>36</v>
      </c>
      <c r="B142" s="285" t="s">
        <v>1239</v>
      </c>
      <c r="C142" s="286" t="s">
        <v>1943</v>
      </c>
      <c r="D142" s="287" t="s">
        <v>47</v>
      </c>
    </row>
    <row r="143" spans="1:4" ht="33.75" x14ac:dyDescent="0.25">
      <c r="A143" s="755"/>
      <c r="B143" s="288" t="s">
        <v>1241</v>
      </c>
      <c r="C143" s="289" t="s">
        <v>464</v>
      </c>
      <c r="D143" s="759" t="s">
        <v>2563</v>
      </c>
    </row>
    <row r="144" spans="1:4" ht="22.5" customHeight="1" x14ac:dyDescent="0.25">
      <c r="A144" s="755"/>
      <c r="B144" s="288" t="s">
        <v>1242</v>
      </c>
      <c r="C144" s="289" t="s">
        <v>1936</v>
      </c>
      <c r="D144" s="759"/>
    </row>
    <row r="145" spans="1:4" ht="15.75" thickBot="1" x14ac:dyDescent="0.3">
      <c r="A145" s="756"/>
      <c r="B145" s="290" t="s">
        <v>2539</v>
      </c>
      <c r="C145" s="291" t="s">
        <v>52</v>
      </c>
      <c r="D145" s="760"/>
    </row>
    <row r="146" spans="1:4" x14ac:dyDescent="0.25">
      <c r="A146" s="754">
        <v>37</v>
      </c>
      <c r="B146" s="285" t="s">
        <v>1239</v>
      </c>
      <c r="C146" s="286" t="s">
        <v>2371</v>
      </c>
      <c r="D146" s="287" t="s">
        <v>47</v>
      </c>
    </row>
    <row r="147" spans="1:4" ht="22.5" x14ac:dyDescent="0.25">
      <c r="A147" s="755"/>
      <c r="B147" s="288" t="s">
        <v>1241</v>
      </c>
      <c r="C147" s="289" t="s">
        <v>423</v>
      </c>
      <c r="D147" s="759" t="s">
        <v>2564</v>
      </c>
    </row>
    <row r="148" spans="1:4" ht="22.5" customHeight="1" x14ac:dyDescent="0.25">
      <c r="A148" s="755"/>
      <c r="B148" s="288" t="s">
        <v>1242</v>
      </c>
      <c r="C148" s="289" t="s">
        <v>1936</v>
      </c>
      <c r="D148" s="759"/>
    </row>
    <row r="149" spans="1:4" ht="15.75" thickBot="1" x14ac:dyDescent="0.3">
      <c r="A149" s="756"/>
      <c r="B149" s="290" t="s">
        <v>2539</v>
      </c>
      <c r="C149" s="291" t="s">
        <v>52</v>
      </c>
      <c r="D149" s="760"/>
    </row>
    <row r="150" spans="1:4" x14ac:dyDescent="0.25">
      <c r="A150" s="754">
        <v>38</v>
      </c>
      <c r="B150" s="285" t="s">
        <v>1239</v>
      </c>
      <c r="C150" s="286" t="s">
        <v>4657</v>
      </c>
      <c r="D150" s="287" t="s">
        <v>47</v>
      </c>
    </row>
    <row r="151" spans="1:4" ht="22.5" x14ac:dyDescent="0.25">
      <c r="A151" s="755"/>
      <c r="B151" s="288" t="s">
        <v>1241</v>
      </c>
      <c r="C151" s="289" t="s">
        <v>3682</v>
      </c>
      <c r="D151" s="759" t="s">
        <v>4724</v>
      </c>
    </row>
    <row r="152" spans="1:4" ht="22.5" customHeight="1" x14ac:dyDescent="0.25">
      <c r="A152" s="755"/>
      <c r="B152" s="288" t="s">
        <v>1242</v>
      </c>
      <c r="C152" s="289" t="s">
        <v>1936</v>
      </c>
      <c r="D152" s="759"/>
    </row>
    <row r="153" spans="1:4" ht="15.75" thickBot="1" x14ac:dyDescent="0.3">
      <c r="A153" s="756"/>
      <c r="B153" s="290" t="s">
        <v>2539</v>
      </c>
      <c r="C153" s="291" t="s">
        <v>52</v>
      </c>
      <c r="D153" s="760"/>
    </row>
    <row r="154" spans="1:4" x14ac:dyDescent="0.25">
      <c r="A154" s="754">
        <v>39</v>
      </c>
      <c r="B154" s="285" t="s">
        <v>1239</v>
      </c>
      <c r="C154" s="286" t="s">
        <v>2466</v>
      </c>
      <c r="D154" s="287" t="s">
        <v>47</v>
      </c>
    </row>
    <row r="155" spans="1:4" ht="22.5" x14ac:dyDescent="0.25">
      <c r="A155" s="755"/>
      <c r="B155" s="288" t="s">
        <v>1241</v>
      </c>
      <c r="C155" s="289" t="s">
        <v>390</v>
      </c>
      <c r="D155" s="759" t="s">
        <v>2565</v>
      </c>
    </row>
    <row r="156" spans="1:4" ht="22.5" customHeight="1" x14ac:dyDescent="0.25">
      <c r="A156" s="755"/>
      <c r="B156" s="288" t="s">
        <v>1242</v>
      </c>
      <c r="C156" s="289" t="s">
        <v>1936</v>
      </c>
      <c r="D156" s="759"/>
    </row>
    <row r="157" spans="1:4" ht="15.75" thickBot="1" x14ac:dyDescent="0.3">
      <c r="A157" s="756"/>
      <c r="B157" s="290" t="s">
        <v>2539</v>
      </c>
      <c r="C157" s="291" t="s">
        <v>52</v>
      </c>
      <c r="D157" s="760"/>
    </row>
    <row r="158" spans="1:4" x14ac:dyDescent="0.25">
      <c r="A158" s="754">
        <v>40</v>
      </c>
      <c r="B158" s="285" t="s">
        <v>1239</v>
      </c>
      <c r="C158" s="286" t="s">
        <v>4442</v>
      </c>
      <c r="D158" s="287" t="s">
        <v>47</v>
      </c>
    </row>
    <row r="159" spans="1:4" ht="45" x14ac:dyDescent="0.25">
      <c r="A159" s="755"/>
      <c r="B159" s="288" t="s">
        <v>1241</v>
      </c>
      <c r="C159" s="289" t="s">
        <v>3613</v>
      </c>
      <c r="D159" s="759" t="s">
        <v>4725</v>
      </c>
    </row>
    <row r="160" spans="1:4" ht="22.5" customHeight="1" x14ac:dyDescent="0.25">
      <c r="A160" s="755"/>
      <c r="B160" s="288" t="s">
        <v>1242</v>
      </c>
      <c r="C160" s="289" t="s">
        <v>1936</v>
      </c>
      <c r="D160" s="759"/>
    </row>
    <row r="161" spans="1:4" ht="15.75" thickBot="1" x14ac:dyDescent="0.3">
      <c r="A161" s="756"/>
      <c r="B161" s="290" t="s">
        <v>2539</v>
      </c>
      <c r="C161" s="291" t="s">
        <v>52</v>
      </c>
      <c r="D161" s="760"/>
    </row>
    <row r="162" spans="1:4" x14ac:dyDescent="0.25">
      <c r="A162" s="754">
        <v>41</v>
      </c>
      <c r="B162" s="285" t="s">
        <v>1239</v>
      </c>
      <c r="C162" s="286" t="s">
        <v>2018</v>
      </c>
      <c r="D162" s="287" t="s">
        <v>47</v>
      </c>
    </row>
    <row r="163" spans="1:4" x14ac:dyDescent="0.25">
      <c r="A163" s="755"/>
      <c r="B163" s="288" t="s">
        <v>1241</v>
      </c>
      <c r="C163" s="289" t="s">
        <v>395</v>
      </c>
      <c r="D163" s="759" t="s">
        <v>2567</v>
      </c>
    </row>
    <row r="164" spans="1:4" ht="22.5" customHeight="1" x14ac:dyDescent="0.25">
      <c r="A164" s="755"/>
      <c r="B164" s="288" t="s">
        <v>1242</v>
      </c>
      <c r="C164" s="289" t="s">
        <v>1936</v>
      </c>
      <c r="D164" s="759"/>
    </row>
    <row r="165" spans="1:4" ht="15.75" thickBot="1" x14ac:dyDescent="0.3">
      <c r="A165" s="756"/>
      <c r="B165" s="290" t="s">
        <v>2539</v>
      </c>
      <c r="C165" s="291" t="s">
        <v>52</v>
      </c>
      <c r="D165" s="760"/>
    </row>
    <row r="166" spans="1:4" x14ac:dyDescent="0.25">
      <c r="A166" s="754">
        <v>42</v>
      </c>
      <c r="B166" s="285" t="s">
        <v>1239</v>
      </c>
      <c r="C166" s="286" t="s">
        <v>2005</v>
      </c>
      <c r="D166" s="287" t="s">
        <v>47</v>
      </c>
    </row>
    <row r="167" spans="1:4" ht="22.5" x14ac:dyDescent="0.25">
      <c r="A167" s="755"/>
      <c r="B167" s="288" t="s">
        <v>1241</v>
      </c>
      <c r="C167" s="289" t="s">
        <v>396</v>
      </c>
      <c r="D167" s="759" t="s">
        <v>2568</v>
      </c>
    </row>
    <row r="168" spans="1:4" ht="22.5" customHeight="1" x14ac:dyDescent="0.25">
      <c r="A168" s="755"/>
      <c r="B168" s="288" t="s">
        <v>1242</v>
      </c>
      <c r="C168" s="289" t="s">
        <v>1936</v>
      </c>
      <c r="D168" s="759"/>
    </row>
    <row r="169" spans="1:4" ht="15.75" thickBot="1" x14ac:dyDescent="0.3">
      <c r="A169" s="756"/>
      <c r="B169" s="290" t="s">
        <v>2539</v>
      </c>
      <c r="C169" s="291" t="s">
        <v>52</v>
      </c>
      <c r="D169" s="760"/>
    </row>
    <row r="170" spans="1:4" x14ac:dyDescent="0.25">
      <c r="A170" s="754">
        <v>43</v>
      </c>
      <c r="B170" s="285" t="s">
        <v>1239</v>
      </c>
      <c r="C170" s="286" t="s">
        <v>2022</v>
      </c>
      <c r="D170" s="287" t="s">
        <v>47</v>
      </c>
    </row>
    <row r="171" spans="1:4" x14ac:dyDescent="0.25">
      <c r="A171" s="755"/>
      <c r="B171" s="288" t="s">
        <v>1241</v>
      </c>
      <c r="C171" s="289" t="s">
        <v>637</v>
      </c>
      <c r="D171" s="759" t="s">
        <v>2569</v>
      </c>
    </row>
    <row r="172" spans="1:4" ht="22.5" customHeight="1" x14ac:dyDescent="0.25">
      <c r="A172" s="755"/>
      <c r="B172" s="288" t="s">
        <v>1242</v>
      </c>
      <c r="C172" s="289" t="s">
        <v>1936</v>
      </c>
      <c r="D172" s="759"/>
    </row>
    <row r="173" spans="1:4" ht="15.75" thickBot="1" x14ac:dyDescent="0.3">
      <c r="A173" s="756"/>
      <c r="B173" s="290" t="s">
        <v>2539</v>
      </c>
      <c r="C173" s="291" t="s">
        <v>52</v>
      </c>
      <c r="D173" s="760"/>
    </row>
    <row r="174" spans="1:4" x14ac:dyDescent="0.25">
      <c r="A174" s="754">
        <v>44</v>
      </c>
      <c r="B174" s="285" t="s">
        <v>1239</v>
      </c>
      <c r="C174" s="286" t="s">
        <v>2033</v>
      </c>
      <c r="D174" s="287" t="s">
        <v>47</v>
      </c>
    </row>
    <row r="175" spans="1:4" ht="22.5" x14ac:dyDescent="0.25">
      <c r="A175" s="755"/>
      <c r="B175" s="288" t="s">
        <v>1241</v>
      </c>
      <c r="C175" s="289" t="s">
        <v>400</v>
      </c>
      <c r="D175" s="759" t="s">
        <v>2570</v>
      </c>
    </row>
    <row r="176" spans="1:4" ht="22.5" customHeight="1" x14ac:dyDescent="0.25">
      <c r="A176" s="755"/>
      <c r="B176" s="288" t="s">
        <v>1242</v>
      </c>
      <c r="C176" s="289" t="s">
        <v>1936</v>
      </c>
      <c r="D176" s="759"/>
    </row>
    <row r="177" spans="1:4" ht="15.75" thickBot="1" x14ac:dyDescent="0.3">
      <c r="A177" s="756"/>
      <c r="B177" s="290" t="s">
        <v>2539</v>
      </c>
      <c r="C177" s="291" t="s">
        <v>52</v>
      </c>
      <c r="D177" s="760"/>
    </row>
    <row r="178" spans="1:4" x14ac:dyDescent="0.25">
      <c r="A178" s="754">
        <v>45</v>
      </c>
      <c r="B178" s="285" t="s">
        <v>1239</v>
      </c>
      <c r="C178" s="286" t="s">
        <v>1992</v>
      </c>
      <c r="D178" s="287" t="s">
        <v>47</v>
      </c>
    </row>
    <row r="179" spans="1:4" ht="22.5" x14ac:dyDescent="0.25">
      <c r="A179" s="755"/>
      <c r="B179" s="288" t="s">
        <v>1241</v>
      </c>
      <c r="C179" s="289" t="s">
        <v>426</v>
      </c>
      <c r="D179" s="759" t="s">
        <v>2572</v>
      </c>
    </row>
    <row r="180" spans="1:4" ht="22.5" customHeight="1" x14ac:dyDescent="0.25">
      <c r="A180" s="755"/>
      <c r="B180" s="288" t="s">
        <v>1242</v>
      </c>
      <c r="C180" s="289" t="s">
        <v>1936</v>
      </c>
      <c r="D180" s="759"/>
    </row>
    <row r="181" spans="1:4" ht="15.75" thickBot="1" x14ac:dyDescent="0.3">
      <c r="A181" s="756"/>
      <c r="B181" s="290" t="s">
        <v>2539</v>
      </c>
      <c r="C181" s="291" t="s">
        <v>75</v>
      </c>
      <c r="D181" s="760"/>
    </row>
    <row r="182" spans="1:4" x14ac:dyDescent="0.25">
      <c r="A182" s="754">
        <v>46</v>
      </c>
      <c r="B182" s="285" t="s">
        <v>1239</v>
      </c>
      <c r="C182" s="286" t="s">
        <v>1543</v>
      </c>
      <c r="D182" s="287" t="s">
        <v>47</v>
      </c>
    </row>
    <row r="183" spans="1:4" ht="22.5" x14ac:dyDescent="0.25">
      <c r="A183" s="755"/>
      <c r="B183" s="288" t="s">
        <v>1241</v>
      </c>
      <c r="C183" s="289" t="s">
        <v>519</v>
      </c>
      <c r="D183" s="759" t="s">
        <v>2573</v>
      </c>
    </row>
    <row r="184" spans="1:4" x14ac:dyDescent="0.25">
      <c r="A184" s="755"/>
      <c r="B184" s="288" t="s">
        <v>1242</v>
      </c>
      <c r="C184" s="289" t="s">
        <v>1395</v>
      </c>
      <c r="D184" s="759"/>
    </row>
    <row r="185" spans="1:4" ht="15.75" thickBot="1" x14ac:dyDescent="0.3">
      <c r="A185" s="756"/>
      <c r="B185" s="290" t="s">
        <v>2539</v>
      </c>
      <c r="C185" s="291" t="s">
        <v>103</v>
      </c>
      <c r="D185" s="760"/>
    </row>
    <row r="186" spans="1:4" x14ac:dyDescent="0.25">
      <c r="A186" s="754">
        <v>47</v>
      </c>
      <c r="B186" s="285" t="s">
        <v>1239</v>
      </c>
      <c r="C186" s="286" t="s">
        <v>2157</v>
      </c>
      <c r="D186" s="287" t="s">
        <v>47</v>
      </c>
    </row>
    <row r="187" spans="1:4" ht="45" x14ac:dyDescent="0.25">
      <c r="A187" s="755"/>
      <c r="B187" s="288" t="s">
        <v>1241</v>
      </c>
      <c r="C187" s="289" t="s">
        <v>2158</v>
      </c>
      <c r="D187" s="759" t="s">
        <v>4726</v>
      </c>
    </row>
    <row r="188" spans="1:4" x14ac:dyDescent="0.25">
      <c r="A188" s="755"/>
      <c r="B188" s="288" t="s">
        <v>1242</v>
      </c>
      <c r="C188" s="289" t="s">
        <v>1364</v>
      </c>
      <c r="D188" s="759"/>
    </row>
    <row r="189" spans="1:4" ht="15.75" thickBot="1" x14ac:dyDescent="0.3">
      <c r="A189" s="756"/>
      <c r="B189" s="290" t="s">
        <v>2539</v>
      </c>
      <c r="C189" s="291" t="s">
        <v>71</v>
      </c>
      <c r="D189" s="760"/>
    </row>
    <row r="190" spans="1:4" x14ac:dyDescent="0.25">
      <c r="A190" s="754">
        <v>48</v>
      </c>
      <c r="B190" s="285" t="s">
        <v>1239</v>
      </c>
      <c r="C190" s="286" t="s">
        <v>2319</v>
      </c>
      <c r="D190" s="287" t="s">
        <v>47</v>
      </c>
    </row>
    <row r="191" spans="1:4" x14ac:dyDescent="0.25">
      <c r="A191" s="755"/>
      <c r="B191" s="288" t="s">
        <v>1241</v>
      </c>
      <c r="C191" s="289" t="s">
        <v>696</v>
      </c>
      <c r="D191" s="759" t="s">
        <v>2574</v>
      </c>
    </row>
    <row r="192" spans="1:4" x14ac:dyDescent="0.25">
      <c r="A192" s="755"/>
      <c r="B192" s="288" t="s">
        <v>1242</v>
      </c>
      <c r="C192" s="289" t="s">
        <v>1750</v>
      </c>
      <c r="D192" s="759"/>
    </row>
    <row r="193" spans="1:4" ht="15.75" thickBot="1" x14ac:dyDescent="0.3">
      <c r="A193" s="756"/>
      <c r="B193" s="290" t="s">
        <v>2539</v>
      </c>
      <c r="C193" s="291" t="s">
        <v>52</v>
      </c>
      <c r="D193" s="760"/>
    </row>
    <row r="194" spans="1:4" x14ac:dyDescent="0.25">
      <c r="A194" s="754">
        <v>49</v>
      </c>
      <c r="B194" s="285" t="s">
        <v>1239</v>
      </c>
      <c r="C194" s="286" t="s">
        <v>2306</v>
      </c>
      <c r="D194" s="287" t="s">
        <v>47</v>
      </c>
    </row>
    <row r="195" spans="1:4" ht="33.75" x14ac:dyDescent="0.25">
      <c r="A195" s="755"/>
      <c r="B195" s="288" t="s">
        <v>1241</v>
      </c>
      <c r="C195" s="289" t="s">
        <v>694</v>
      </c>
      <c r="D195" s="757" t="s">
        <v>2548</v>
      </c>
    </row>
    <row r="196" spans="1:4" x14ac:dyDescent="0.25">
      <c r="A196" s="755"/>
      <c r="B196" s="288" t="s">
        <v>1242</v>
      </c>
      <c r="C196" s="289" t="s">
        <v>1750</v>
      </c>
      <c r="D196" s="757"/>
    </row>
    <row r="197" spans="1:4" ht="15.75" thickBot="1" x14ac:dyDescent="0.3">
      <c r="A197" s="756"/>
      <c r="B197" s="290" t="s">
        <v>2539</v>
      </c>
      <c r="C197" s="291" t="s">
        <v>52</v>
      </c>
      <c r="D197" s="758"/>
    </row>
    <row r="198" spans="1:4" x14ac:dyDescent="0.25">
      <c r="A198" s="754">
        <v>50</v>
      </c>
      <c r="B198" s="285" t="s">
        <v>1239</v>
      </c>
      <c r="C198" s="286" t="s">
        <v>2230</v>
      </c>
      <c r="D198" s="287" t="s">
        <v>47</v>
      </c>
    </row>
    <row r="199" spans="1:4" ht="22.5" x14ac:dyDescent="0.25">
      <c r="A199" s="755"/>
      <c r="B199" s="288" t="s">
        <v>1241</v>
      </c>
      <c r="C199" s="289" t="s">
        <v>456</v>
      </c>
      <c r="D199" s="759" t="s">
        <v>2575</v>
      </c>
    </row>
    <row r="200" spans="1:4" x14ac:dyDescent="0.25">
      <c r="A200" s="755"/>
      <c r="B200" s="288" t="s">
        <v>1242</v>
      </c>
      <c r="C200" s="289" t="s">
        <v>1750</v>
      </c>
      <c r="D200" s="759"/>
    </row>
    <row r="201" spans="1:4" ht="15.75" thickBot="1" x14ac:dyDescent="0.3">
      <c r="A201" s="756"/>
      <c r="B201" s="290" t="s">
        <v>2539</v>
      </c>
      <c r="C201" s="291" t="s">
        <v>52</v>
      </c>
      <c r="D201" s="760"/>
    </row>
    <row r="202" spans="1:4" x14ac:dyDescent="0.25">
      <c r="A202" s="754">
        <v>51</v>
      </c>
      <c r="B202" s="285" t="s">
        <v>1239</v>
      </c>
      <c r="C202" s="286" t="s">
        <v>4285</v>
      </c>
      <c r="D202" s="287" t="s">
        <v>47</v>
      </c>
    </row>
    <row r="203" spans="1:4" x14ac:dyDescent="0.25">
      <c r="A203" s="755"/>
      <c r="B203" s="288" t="s">
        <v>1241</v>
      </c>
      <c r="C203" s="289" t="s">
        <v>3401</v>
      </c>
      <c r="D203" s="759" t="s">
        <v>4727</v>
      </c>
    </row>
    <row r="204" spans="1:4" x14ac:dyDescent="0.25">
      <c r="A204" s="755"/>
      <c r="B204" s="288" t="s">
        <v>1242</v>
      </c>
      <c r="C204" s="289" t="s">
        <v>1750</v>
      </c>
      <c r="D204" s="759"/>
    </row>
    <row r="205" spans="1:4" ht="15.75" thickBot="1" x14ac:dyDescent="0.3">
      <c r="A205" s="756"/>
      <c r="B205" s="290" t="s">
        <v>2539</v>
      </c>
      <c r="C205" s="291" t="s">
        <v>52</v>
      </c>
      <c r="D205" s="760"/>
    </row>
    <row r="206" spans="1:4" x14ac:dyDescent="0.25">
      <c r="A206" s="754">
        <v>52</v>
      </c>
      <c r="B206" s="285" t="s">
        <v>1239</v>
      </c>
      <c r="C206" s="286" t="s">
        <v>4399</v>
      </c>
      <c r="D206" s="287" t="s">
        <v>47</v>
      </c>
    </row>
    <row r="207" spans="1:4" ht="33.75" x14ac:dyDescent="0.25">
      <c r="A207" s="755"/>
      <c r="B207" s="288" t="s">
        <v>1241</v>
      </c>
      <c r="C207" s="289" t="s">
        <v>3477</v>
      </c>
      <c r="D207" s="759" t="s">
        <v>2548</v>
      </c>
    </row>
    <row r="208" spans="1:4" x14ac:dyDescent="0.25">
      <c r="A208" s="755"/>
      <c r="B208" s="288" t="s">
        <v>1242</v>
      </c>
      <c r="C208" s="289" t="s">
        <v>1750</v>
      </c>
      <c r="D208" s="759"/>
    </row>
    <row r="209" spans="1:4" ht="15.75" thickBot="1" x14ac:dyDescent="0.3">
      <c r="A209" s="756"/>
      <c r="B209" s="290" t="s">
        <v>2539</v>
      </c>
      <c r="C209" s="291" t="s">
        <v>52</v>
      </c>
      <c r="D209" s="760"/>
    </row>
    <row r="210" spans="1:4" x14ac:dyDescent="0.25">
      <c r="A210" s="754">
        <v>53</v>
      </c>
      <c r="B210" s="285" t="s">
        <v>1239</v>
      </c>
      <c r="C210" s="286" t="s">
        <v>4375</v>
      </c>
      <c r="D210" s="287" t="s">
        <v>47</v>
      </c>
    </row>
    <row r="211" spans="1:4" x14ac:dyDescent="0.25">
      <c r="A211" s="755"/>
      <c r="B211" s="288" t="s">
        <v>1241</v>
      </c>
      <c r="C211" s="289" t="s">
        <v>3475</v>
      </c>
      <c r="D211" s="759" t="s">
        <v>2548</v>
      </c>
    </row>
    <row r="212" spans="1:4" x14ac:dyDescent="0.25">
      <c r="A212" s="755"/>
      <c r="B212" s="288" t="s">
        <v>1242</v>
      </c>
      <c r="C212" s="289" t="s">
        <v>1750</v>
      </c>
      <c r="D212" s="759"/>
    </row>
    <row r="213" spans="1:4" ht="15.75" thickBot="1" x14ac:dyDescent="0.3">
      <c r="A213" s="756"/>
      <c r="B213" s="290" t="s">
        <v>2539</v>
      </c>
      <c r="C213" s="291" t="s">
        <v>52</v>
      </c>
      <c r="D213" s="760"/>
    </row>
    <row r="214" spans="1:4" x14ac:dyDescent="0.25">
      <c r="A214" s="754">
        <v>54</v>
      </c>
      <c r="B214" s="285" t="s">
        <v>1239</v>
      </c>
      <c r="C214" s="286" t="s">
        <v>4251</v>
      </c>
      <c r="D214" s="287" t="s">
        <v>47</v>
      </c>
    </row>
    <row r="215" spans="1:4" ht="33.75" x14ac:dyDescent="0.25">
      <c r="A215" s="755"/>
      <c r="B215" s="288" t="s">
        <v>1241</v>
      </c>
      <c r="C215" s="289" t="s">
        <v>1081</v>
      </c>
      <c r="D215" s="759" t="s">
        <v>4728</v>
      </c>
    </row>
    <row r="216" spans="1:4" x14ac:dyDescent="0.25">
      <c r="A216" s="755"/>
      <c r="B216" s="288" t="s">
        <v>1242</v>
      </c>
      <c r="C216" s="289" t="s">
        <v>1750</v>
      </c>
      <c r="D216" s="759"/>
    </row>
    <row r="217" spans="1:4" ht="15.75" thickBot="1" x14ac:dyDescent="0.3">
      <c r="A217" s="756"/>
      <c r="B217" s="290" t="s">
        <v>2539</v>
      </c>
      <c r="C217" s="291" t="s">
        <v>52</v>
      </c>
      <c r="D217" s="760"/>
    </row>
    <row r="218" spans="1:4" x14ac:dyDescent="0.25">
      <c r="A218" s="754">
        <v>55</v>
      </c>
      <c r="B218" s="285" t="s">
        <v>1239</v>
      </c>
      <c r="C218" s="286" t="s">
        <v>2086</v>
      </c>
      <c r="D218" s="287" t="s">
        <v>47</v>
      </c>
    </row>
    <row r="219" spans="1:4" ht="33.75" x14ac:dyDescent="0.25">
      <c r="A219" s="755"/>
      <c r="B219" s="288" t="s">
        <v>1241</v>
      </c>
      <c r="C219" s="289" t="s">
        <v>651</v>
      </c>
      <c r="D219" s="757" t="s">
        <v>2576</v>
      </c>
    </row>
    <row r="220" spans="1:4" x14ac:dyDescent="0.25">
      <c r="A220" s="755"/>
      <c r="B220" s="288" t="s">
        <v>1242</v>
      </c>
      <c r="C220" s="289" t="s">
        <v>1750</v>
      </c>
      <c r="D220" s="757"/>
    </row>
    <row r="221" spans="1:4" ht="15.75" thickBot="1" x14ac:dyDescent="0.3">
      <c r="A221" s="756"/>
      <c r="B221" s="290" t="s">
        <v>2539</v>
      </c>
      <c r="C221" s="291" t="s">
        <v>52</v>
      </c>
      <c r="D221" s="758"/>
    </row>
    <row r="222" spans="1:4" x14ac:dyDescent="0.25">
      <c r="A222" s="754">
        <v>56</v>
      </c>
      <c r="B222" s="285" t="s">
        <v>1239</v>
      </c>
      <c r="C222" s="286" t="s">
        <v>2201</v>
      </c>
      <c r="D222" s="287" t="s">
        <v>47</v>
      </c>
    </row>
    <row r="223" spans="1:4" ht="22.5" x14ac:dyDescent="0.25">
      <c r="A223" s="755"/>
      <c r="B223" s="288" t="s">
        <v>1241</v>
      </c>
      <c r="C223" s="289" t="s">
        <v>677</v>
      </c>
      <c r="D223" s="759" t="s">
        <v>2577</v>
      </c>
    </row>
    <row r="224" spans="1:4" x14ac:dyDescent="0.25">
      <c r="A224" s="755"/>
      <c r="B224" s="288" t="s">
        <v>1242</v>
      </c>
      <c r="C224" s="289" t="s">
        <v>1750</v>
      </c>
      <c r="D224" s="759"/>
    </row>
    <row r="225" spans="1:4" ht="15.75" thickBot="1" x14ac:dyDescent="0.3">
      <c r="A225" s="756"/>
      <c r="B225" s="290" t="s">
        <v>2539</v>
      </c>
      <c r="C225" s="291" t="s">
        <v>52</v>
      </c>
      <c r="D225" s="760"/>
    </row>
    <row r="226" spans="1:4" x14ac:dyDescent="0.25">
      <c r="A226" s="754">
        <v>57</v>
      </c>
      <c r="B226" s="285" t="s">
        <v>1239</v>
      </c>
      <c r="C226" s="286" t="s">
        <v>2206</v>
      </c>
      <c r="D226" s="287" t="s">
        <v>47</v>
      </c>
    </row>
    <row r="227" spans="1:4" ht="33.75" x14ac:dyDescent="0.25">
      <c r="A227" s="755"/>
      <c r="B227" s="288" t="s">
        <v>1241</v>
      </c>
      <c r="C227" s="289" t="s">
        <v>413</v>
      </c>
      <c r="D227" s="759" t="s">
        <v>2578</v>
      </c>
    </row>
    <row r="228" spans="1:4" x14ac:dyDescent="0.25">
      <c r="A228" s="755"/>
      <c r="B228" s="288" t="s">
        <v>1242</v>
      </c>
      <c r="C228" s="289" t="s">
        <v>1750</v>
      </c>
      <c r="D228" s="759"/>
    </row>
    <row r="229" spans="1:4" ht="15.75" thickBot="1" x14ac:dyDescent="0.3">
      <c r="A229" s="756"/>
      <c r="B229" s="290" t="s">
        <v>2539</v>
      </c>
      <c r="C229" s="291" t="s">
        <v>52</v>
      </c>
      <c r="D229" s="760"/>
    </row>
    <row r="230" spans="1:4" x14ac:dyDescent="0.25">
      <c r="A230" s="754">
        <v>58</v>
      </c>
      <c r="B230" s="285" t="s">
        <v>1239</v>
      </c>
      <c r="C230" s="286" t="s">
        <v>4038</v>
      </c>
      <c r="D230" s="287" t="s">
        <v>47</v>
      </c>
    </row>
    <row r="231" spans="1:4" ht="22.5" x14ac:dyDescent="0.25">
      <c r="A231" s="755"/>
      <c r="B231" s="288" t="s">
        <v>1241</v>
      </c>
      <c r="C231" s="289" t="s">
        <v>2789</v>
      </c>
      <c r="D231" s="757" t="s">
        <v>2552</v>
      </c>
    </row>
    <row r="232" spans="1:4" x14ac:dyDescent="0.25">
      <c r="A232" s="755"/>
      <c r="B232" s="288" t="s">
        <v>1242</v>
      </c>
      <c r="C232" s="289" t="s">
        <v>2559</v>
      </c>
      <c r="D232" s="757"/>
    </row>
    <row r="233" spans="1:4" ht="15.75" thickBot="1" x14ac:dyDescent="0.3">
      <c r="A233" s="756"/>
      <c r="B233" s="290" t="s">
        <v>2539</v>
      </c>
      <c r="C233" s="291" t="s">
        <v>103</v>
      </c>
      <c r="D233" s="758"/>
    </row>
    <row r="234" spans="1:4" x14ac:dyDescent="0.25">
      <c r="A234" s="754">
        <v>59</v>
      </c>
      <c r="B234" s="285" t="s">
        <v>1239</v>
      </c>
      <c r="C234" s="286" t="s">
        <v>4227</v>
      </c>
      <c r="D234" s="287" t="s">
        <v>47</v>
      </c>
    </row>
    <row r="235" spans="1:4" x14ac:dyDescent="0.25">
      <c r="A235" s="755"/>
      <c r="B235" s="288" t="s">
        <v>1241</v>
      </c>
      <c r="C235" s="289" t="s">
        <v>3765</v>
      </c>
      <c r="D235" s="757" t="s">
        <v>4729</v>
      </c>
    </row>
    <row r="236" spans="1:4" x14ac:dyDescent="0.25">
      <c r="A236" s="755"/>
      <c r="B236" s="288" t="s">
        <v>1242</v>
      </c>
      <c r="C236" s="289" t="s">
        <v>1750</v>
      </c>
      <c r="D236" s="757"/>
    </row>
    <row r="237" spans="1:4" ht="15.75" thickBot="1" x14ac:dyDescent="0.3">
      <c r="A237" s="756"/>
      <c r="B237" s="290" t="s">
        <v>2539</v>
      </c>
      <c r="C237" s="291" t="s">
        <v>52</v>
      </c>
      <c r="D237" s="758"/>
    </row>
    <row r="238" spans="1:4" x14ac:dyDescent="0.25">
      <c r="A238" s="754">
        <v>60</v>
      </c>
      <c r="B238" s="285" t="s">
        <v>1239</v>
      </c>
      <c r="C238" s="286" t="s">
        <v>4680</v>
      </c>
      <c r="D238" s="287" t="s">
        <v>47</v>
      </c>
    </row>
    <row r="239" spans="1:4" x14ac:dyDescent="0.25">
      <c r="A239" s="755"/>
      <c r="B239" s="288" t="s">
        <v>1241</v>
      </c>
      <c r="C239" s="289" t="s">
        <v>4730</v>
      </c>
      <c r="D239" s="757" t="s">
        <v>2580</v>
      </c>
    </row>
    <row r="240" spans="1:4" x14ac:dyDescent="0.25">
      <c r="A240" s="755"/>
      <c r="B240" s="288" t="s">
        <v>1242</v>
      </c>
      <c r="C240" s="289" t="s">
        <v>1750</v>
      </c>
      <c r="D240" s="757"/>
    </row>
    <row r="241" spans="1:4" ht="15.75" thickBot="1" x14ac:dyDescent="0.3">
      <c r="A241" s="756"/>
      <c r="B241" s="290" t="s">
        <v>2539</v>
      </c>
      <c r="C241" s="291" t="s">
        <v>52</v>
      </c>
      <c r="D241" s="758"/>
    </row>
    <row r="242" spans="1:4" x14ac:dyDescent="0.25">
      <c r="A242" s="754">
        <v>61</v>
      </c>
      <c r="B242" s="285" t="s">
        <v>1239</v>
      </c>
      <c r="C242" s="286" t="s">
        <v>2283</v>
      </c>
      <c r="D242" s="287" t="s">
        <v>47</v>
      </c>
    </row>
    <row r="243" spans="1:4" ht="90" x14ac:dyDescent="0.25">
      <c r="A243" s="755"/>
      <c r="B243" s="288" t="s">
        <v>1241</v>
      </c>
      <c r="C243" s="289" t="s">
        <v>693</v>
      </c>
      <c r="D243" s="757" t="s">
        <v>2548</v>
      </c>
    </row>
    <row r="244" spans="1:4" x14ac:dyDescent="0.25">
      <c r="A244" s="755"/>
      <c r="B244" s="288" t="s">
        <v>1242</v>
      </c>
      <c r="C244" s="289" t="s">
        <v>1750</v>
      </c>
      <c r="D244" s="757"/>
    </row>
    <row r="245" spans="1:4" ht="15.75" thickBot="1" x14ac:dyDescent="0.3">
      <c r="A245" s="756"/>
      <c r="B245" s="290" t="s">
        <v>2539</v>
      </c>
      <c r="C245" s="291" t="s">
        <v>52</v>
      </c>
      <c r="D245" s="758"/>
    </row>
    <row r="246" spans="1:4" x14ac:dyDescent="0.25">
      <c r="A246" s="754">
        <v>62</v>
      </c>
      <c r="B246" s="285" t="s">
        <v>1239</v>
      </c>
      <c r="C246" s="286" t="s">
        <v>4359</v>
      </c>
      <c r="D246" s="287" t="s">
        <v>47</v>
      </c>
    </row>
    <row r="247" spans="1:4" ht="22.5" x14ac:dyDescent="0.25">
      <c r="A247" s="755"/>
      <c r="B247" s="288" t="s">
        <v>1241</v>
      </c>
      <c r="C247" s="289" t="s">
        <v>4731</v>
      </c>
      <c r="D247" s="759" t="s">
        <v>2548</v>
      </c>
    </row>
    <row r="248" spans="1:4" x14ac:dyDescent="0.25">
      <c r="A248" s="755"/>
      <c r="B248" s="288" t="s">
        <v>1242</v>
      </c>
      <c r="C248" s="289" t="s">
        <v>1750</v>
      </c>
      <c r="D248" s="759"/>
    </row>
    <row r="249" spans="1:4" ht="15.75" thickBot="1" x14ac:dyDescent="0.3">
      <c r="A249" s="756"/>
      <c r="B249" s="290" t="s">
        <v>2539</v>
      </c>
      <c r="C249" s="291" t="s">
        <v>52</v>
      </c>
      <c r="D249" s="760"/>
    </row>
    <row r="250" spans="1:4" x14ac:dyDescent="0.25">
      <c r="A250" s="754">
        <v>63</v>
      </c>
      <c r="B250" s="285" t="s">
        <v>1239</v>
      </c>
      <c r="C250" s="286" t="s">
        <v>4118</v>
      </c>
      <c r="D250" s="287" t="s">
        <v>47</v>
      </c>
    </row>
    <row r="251" spans="1:4" ht="22.5" x14ac:dyDescent="0.25">
      <c r="A251" s="755"/>
      <c r="B251" s="288" t="s">
        <v>1241</v>
      </c>
      <c r="C251" s="289" t="s">
        <v>2971</v>
      </c>
      <c r="D251" s="759" t="s">
        <v>4732</v>
      </c>
    </row>
    <row r="252" spans="1:4" x14ac:dyDescent="0.25">
      <c r="A252" s="755"/>
      <c r="B252" s="288" t="s">
        <v>1242</v>
      </c>
      <c r="C252" s="289" t="s">
        <v>1750</v>
      </c>
      <c r="D252" s="759"/>
    </row>
    <row r="253" spans="1:4" ht="15.75" thickBot="1" x14ac:dyDescent="0.3">
      <c r="A253" s="756"/>
      <c r="B253" s="290" t="s">
        <v>2539</v>
      </c>
      <c r="C253" s="291" t="s">
        <v>52</v>
      </c>
      <c r="D253" s="760"/>
    </row>
    <row r="254" spans="1:4" x14ac:dyDescent="0.25">
      <c r="A254" s="754">
        <v>64</v>
      </c>
      <c r="B254" s="285" t="s">
        <v>1239</v>
      </c>
      <c r="C254" s="286" t="s">
        <v>2215</v>
      </c>
      <c r="D254" s="287" t="s">
        <v>47</v>
      </c>
    </row>
    <row r="255" spans="1:4" ht="56.25" x14ac:dyDescent="0.25">
      <c r="A255" s="755"/>
      <c r="B255" s="288" t="s">
        <v>1241</v>
      </c>
      <c r="C255" s="289" t="s">
        <v>681</v>
      </c>
      <c r="D255" s="759" t="s">
        <v>2582</v>
      </c>
    </row>
    <row r="256" spans="1:4" x14ac:dyDescent="0.25">
      <c r="A256" s="755"/>
      <c r="B256" s="288" t="s">
        <v>1242</v>
      </c>
      <c r="C256" s="289" t="s">
        <v>1750</v>
      </c>
      <c r="D256" s="759"/>
    </row>
    <row r="257" spans="1:4" ht="15.75" thickBot="1" x14ac:dyDescent="0.3">
      <c r="A257" s="756"/>
      <c r="B257" s="290" t="s">
        <v>2539</v>
      </c>
      <c r="C257" s="291" t="s">
        <v>52</v>
      </c>
      <c r="D257" s="760"/>
    </row>
    <row r="258" spans="1:4" x14ac:dyDescent="0.25">
      <c r="A258" s="754">
        <v>65</v>
      </c>
      <c r="B258" s="285" t="s">
        <v>1239</v>
      </c>
      <c r="C258" s="286" t="s">
        <v>1772</v>
      </c>
      <c r="D258" s="287" t="s">
        <v>47</v>
      </c>
    </row>
    <row r="259" spans="1:4" ht="33.75" x14ac:dyDescent="0.25">
      <c r="A259" s="755"/>
      <c r="B259" s="288" t="s">
        <v>1241</v>
      </c>
      <c r="C259" s="289" t="s">
        <v>553</v>
      </c>
      <c r="D259" s="759" t="s">
        <v>2583</v>
      </c>
    </row>
    <row r="260" spans="1:4" x14ac:dyDescent="0.25">
      <c r="A260" s="755"/>
      <c r="B260" s="288" t="s">
        <v>1242</v>
      </c>
      <c r="C260" s="289" t="s">
        <v>1379</v>
      </c>
      <c r="D260" s="759"/>
    </row>
    <row r="261" spans="1:4" ht="15.75" thickBot="1" x14ac:dyDescent="0.3">
      <c r="A261" s="756"/>
      <c r="B261" s="290" t="s">
        <v>2539</v>
      </c>
      <c r="C261" s="291" t="s">
        <v>103</v>
      </c>
      <c r="D261" s="760"/>
    </row>
    <row r="262" spans="1:4" x14ac:dyDescent="0.25">
      <c r="A262" s="754">
        <v>66</v>
      </c>
      <c r="B262" s="285" t="s">
        <v>1239</v>
      </c>
      <c r="C262" s="286" t="s">
        <v>3982</v>
      </c>
      <c r="D262" s="287" t="s">
        <v>47</v>
      </c>
    </row>
    <row r="263" spans="1:4" ht="33.75" customHeight="1" x14ac:dyDescent="0.25">
      <c r="A263" s="755"/>
      <c r="B263" s="288" t="s">
        <v>1241</v>
      </c>
      <c r="C263" s="289" t="s">
        <v>2743</v>
      </c>
      <c r="D263" s="757" t="s">
        <v>4733</v>
      </c>
    </row>
    <row r="264" spans="1:4" x14ac:dyDescent="0.25">
      <c r="A264" s="755"/>
      <c r="B264" s="288" t="s">
        <v>1242</v>
      </c>
      <c r="C264" s="289" t="s">
        <v>1348</v>
      </c>
      <c r="D264" s="757"/>
    </row>
    <row r="265" spans="1:4" ht="15.75" thickBot="1" x14ac:dyDescent="0.3">
      <c r="A265" s="756"/>
      <c r="B265" s="290" t="s">
        <v>2539</v>
      </c>
      <c r="C265" s="291" t="s">
        <v>75</v>
      </c>
      <c r="D265" s="758"/>
    </row>
    <row r="266" spans="1:4" x14ac:dyDescent="0.25">
      <c r="A266" s="754">
        <v>67</v>
      </c>
      <c r="B266" s="285" t="s">
        <v>1239</v>
      </c>
      <c r="C266" s="286" t="s">
        <v>2197</v>
      </c>
      <c r="D266" s="287" t="s">
        <v>47</v>
      </c>
    </row>
    <row r="267" spans="1:4" ht="22.5" x14ac:dyDescent="0.25">
      <c r="A267" s="755"/>
      <c r="B267" s="288" t="s">
        <v>1241</v>
      </c>
      <c r="C267" s="289" t="s">
        <v>345</v>
      </c>
      <c r="D267" s="757" t="s">
        <v>2584</v>
      </c>
    </row>
    <row r="268" spans="1:4" x14ac:dyDescent="0.25">
      <c r="A268" s="755"/>
      <c r="B268" s="288" t="s">
        <v>1242</v>
      </c>
      <c r="C268" s="289" t="s">
        <v>1252</v>
      </c>
      <c r="D268" s="757"/>
    </row>
    <row r="269" spans="1:4" ht="15.75" thickBot="1" x14ac:dyDescent="0.3">
      <c r="A269" s="756"/>
      <c r="B269" s="290" t="s">
        <v>2539</v>
      </c>
      <c r="C269" s="291" t="s">
        <v>52</v>
      </c>
      <c r="D269" s="758"/>
    </row>
    <row r="270" spans="1:4" x14ac:dyDescent="0.25">
      <c r="A270" s="754">
        <v>68</v>
      </c>
      <c r="B270" s="285" t="s">
        <v>1239</v>
      </c>
      <c r="C270" s="286" t="s">
        <v>1806</v>
      </c>
      <c r="D270" s="287" t="s">
        <v>47</v>
      </c>
    </row>
    <row r="271" spans="1:4" ht="33.75" x14ac:dyDescent="0.25">
      <c r="A271" s="755"/>
      <c r="B271" s="288" t="s">
        <v>1241</v>
      </c>
      <c r="C271" s="289" t="s">
        <v>2585</v>
      </c>
      <c r="D271" s="759" t="s">
        <v>2548</v>
      </c>
    </row>
    <row r="272" spans="1:4" x14ac:dyDescent="0.25">
      <c r="A272" s="755"/>
      <c r="B272" s="288" t="s">
        <v>1242</v>
      </c>
      <c r="C272" s="289" t="s">
        <v>1252</v>
      </c>
      <c r="D272" s="759"/>
    </row>
    <row r="273" spans="1:4" ht="15.75" thickBot="1" x14ac:dyDescent="0.3">
      <c r="A273" s="756"/>
      <c r="B273" s="290" t="s">
        <v>2539</v>
      </c>
      <c r="C273" s="291" t="s">
        <v>52</v>
      </c>
      <c r="D273" s="760"/>
    </row>
    <row r="274" spans="1:4" x14ac:dyDescent="0.25">
      <c r="A274" s="754">
        <v>69</v>
      </c>
      <c r="B274" s="285" t="s">
        <v>1239</v>
      </c>
      <c r="C274" s="286" t="s">
        <v>1833</v>
      </c>
      <c r="D274" s="287" t="s">
        <v>47</v>
      </c>
    </row>
    <row r="275" spans="1:4" ht="33.75" x14ac:dyDescent="0.25">
      <c r="A275" s="755"/>
      <c r="B275" s="288" t="s">
        <v>1241</v>
      </c>
      <c r="C275" s="289" t="s">
        <v>566</v>
      </c>
      <c r="D275" s="759" t="s">
        <v>2548</v>
      </c>
    </row>
    <row r="276" spans="1:4" x14ac:dyDescent="0.25">
      <c r="A276" s="755"/>
      <c r="B276" s="288" t="s">
        <v>1242</v>
      </c>
      <c r="C276" s="289" t="s">
        <v>1252</v>
      </c>
      <c r="D276" s="759"/>
    </row>
    <row r="277" spans="1:4" ht="15.75" thickBot="1" x14ac:dyDescent="0.3">
      <c r="A277" s="756"/>
      <c r="B277" s="290" t="s">
        <v>2539</v>
      </c>
      <c r="C277" s="291" t="s">
        <v>52</v>
      </c>
      <c r="D277" s="760"/>
    </row>
    <row r="278" spans="1:4" x14ac:dyDescent="0.25">
      <c r="A278" s="754">
        <v>70</v>
      </c>
      <c r="B278" s="285" t="s">
        <v>1239</v>
      </c>
      <c r="C278" s="286" t="s">
        <v>1672</v>
      </c>
      <c r="D278" s="287" t="s">
        <v>47</v>
      </c>
    </row>
    <row r="279" spans="1:4" ht="22.5" x14ac:dyDescent="0.25">
      <c r="A279" s="755"/>
      <c r="B279" s="288" t="s">
        <v>1241</v>
      </c>
      <c r="C279" s="289" t="s">
        <v>332</v>
      </c>
      <c r="D279" s="759" t="s">
        <v>2586</v>
      </c>
    </row>
    <row r="280" spans="1:4" x14ac:dyDescent="0.25">
      <c r="A280" s="755"/>
      <c r="B280" s="288" t="s">
        <v>1242</v>
      </c>
      <c r="C280" s="289" t="s">
        <v>1252</v>
      </c>
      <c r="D280" s="759"/>
    </row>
    <row r="281" spans="1:4" ht="15.75" thickBot="1" x14ac:dyDescent="0.3">
      <c r="A281" s="756"/>
      <c r="B281" s="290" t="s">
        <v>2539</v>
      </c>
      <c r="C281" s="291" t="s">
        <v>103</v>
      </c>
      <c r="D281" s="760"/>
    </row>
    <row r="282" spans="1:4" x14ac:dyDescent="0.25">
      <c r="A282" s="754">
        <v>71</v>
      </c>
      <c r="B282" s="285" t="s">
        <v>1239</v>
      </c>
      <c r="C282" s="286" t="s">
        <v>1759</v>
      </c>
      <c r="D282" s="287" t="s">
        <v>47</v>
      </c>
    </row>
    <row r="283" spans="1:4" ht="22.5" x14ac:dyDescent="0.25">
      <c r="A283" s="755"/>
      <c r="B283" s="288" t="s">
        <v>1241</v>
      </c>
      <c r="C283" s="289" t="s">
        <v>548</v>
      </c>
      <c r="D283" s="759" t="s">
        <v>2588</v>
      </c>
    </row>
    <row r="284" spans="1:4" x14ac:dyDescent="0.25">
      <c r="A284" s="755"/>
      <c r="B284" s="288" t="s">
        <v>1242</v>
      </c>
      <c r="C284" s="289" t="s">
        <v>1252</v>
      </c>
      <c r="D284" s="759"/>
    </row>
    <row r="285" spans="1:4" ht="15.75" thickBot="1" x14ac:dyDescent="0.3">
      <c r="A285" s="756"/>
      <c r="B285" s="290" t="s">
        <v>2539</v>
      </c>
      <c r="C285" s="291" t="s">
        <v>52</v>
      </c>
      <c r="D285" s="760"/>
    </row>
    <row r="286" spans="1:4" x14ac:dyDescent="0.25">
      <c r="A286" s="754">
        <v>72</v>
      </c>
      <c r="B286" s="285" t="s">
        <v>1239</v>
      </c>
      <c r="C286" s="286" t="s">
        <v>1659</v>
      </c>
      <c r="D286" s="287" t="s">
        <v>47</v>
      </c>
    </row>
    <row r="287" spans="1:4" ht="22.5" x14ac:dyDescent="0.25">
      <c r="A287" s="755"/>
      <c r="B287" s="288" t="s">
        <v>1241</v>
      </c>
      <c r="C287" s="289" t="s">
        <v>536</v>
      </c>
      <c r="D287" s="759" t="s">
        <v>2589</v>
      </c>
    </row>
    <row r="288" spans="1:4" x14ac:dyDescent="0.25">
      <c r="A288" s="755"/>
      <c r="B288" s="288" t="s">
        <v>1242</v>
      </c>
      <c r="C288" s="289" t="s">
        <v>1252</v>
      </c>
      <c r="D288" s="759"/>
    </row>
    <row r="289" spans="1:4" ht="15.75" thickBot="1" x14ac:dyDescent="0.3">
      <c r="A289" s="756"/>
      <c r="B289" s="290" t="s">
        <v>2539</v>
      </c>
      <c r="C289" s="291" t="s">
        <v>103</v>
      </c>
      <c r="D289" s="760"/>
    </row>
    <row r="290" spans="1:4" x14ac:dyDescent="0.25">
      <c r="A290" s="754">
        <v>73</v>
      </c>
      <c r="B290" s="285" t="s">
        <v>1239</v>
      </c>
      <c r="C290" s="286" t="s">
        <v>1696</v>
      </c>
      <c r="D290" s="287" t="s">
        <v>47</v>
      </c>
    </row>
    <row r="291" spans="1:4" ht="33.75" x14ac:dyDescent="0.25">
      <c r="A291" s="755"/>
      <c r="B291" s="288" t="s">
        <v>1241</v>
      </c>
      <c r="C291" s="289" t="s">
        <v>339</v>
      </c>
      <c r="D291" s="759" t="s">
        <v>2590</v>
      </c>
    </row>
    <row r="292" spans="1:4" x14ac:dyDescent="0.25">
      <c r="A292" s="755"/>
      <c r="B292" s="288" t="s">
        <v>1242</v>
      </c>
      <c r="C292" s="289" t="s">
        <v>1252</v>
      </c>
      <c r="D292" s="759"/>
    </row>
    <row r="293" spans="1:4" ht="15.75" thickBot="1" x14ac:dyDescent="0.3">
      <c r="A293" s="756"/>
      <c r="B293" s="290" t="s">
        <v>2539</v>
      </c>
      <c r="C293" s="291" t="s">
        <v>52</v>
      </c>
      <c r="D293" s="760"/>
    </row>
    <row r="294" spans="1:4" x14ac:dyDescent="0.25">
      <c r="A294" s="754">
        <v>74</v>
      </c>
      <c r="B294" s="285" t="s">
        <v>1239</v>
      </c>
      <c r="C294" s="286" t="s">
        <v>1692</v>
      </c>
      <c r="D294" s="287" t="s">
        <v>47</v>
      </c>
    </row>
    <row r="295" spans="1:4" ht="22.5" x14ac:dyDescent="0.25">
      <c r="A295" s="755"/>
      <c r="B295" s="288" t="s">
        <v>1241</v>
      </c>
      <c r="C295" s="289" t="s">
        <v>342</v>
      </c>
      <c r="D295" s="759" t="s">
        <v>2591</v>
      </c>
    </row>
    <row r="296" spans="1:4" x14ac:dyDescent="0.25">
      <c r="A296" s="755"/>
      <c r="B296" s="288" t="s">
        <v>1242</v>
      </c>
      <c r="C296" s="289" t="s">
        <v>1252</v>
      </c>
      <c r="D296" s="759"/>
    </row>
    <row r="297" spans="1:4" ht="15.75" thickBot="1" x14ac:dyDescent="0.3">
      <c r="A297" s="756"/>
      <c r="B297" s="290" t="s">
        <v>2539</v>
      </c>
      <c r="C297" s="291" t="s">
        <v>52</v>
      </c>
      <c r="D297" s="760"/>
    </row>
    <row r="298" spans="1:4" x14ac:dyDescent="0.25">
      <c r="A298" s="754">
        <v>75</v>
      </c>
      <c r="B298" s="285" t="s">
        <v>1239</v>
      </c>
      <c r="C298" s="286" t="s">
        <v>1745</v>
      </c>
      <c r="D298" s="287" t="s">
        <v>47</v>
      </c>
    </row>
    <row r="299" spans="1:4" ht="33.75" x14ac:dyDescent="0.25">
      <c r="A299" s="755"/>
      <c r="B299" s="288" t="s">
        <v>1241</v>
      </c>
      <c r="C299" s="289" t="s">
        <v>543</v>
      </c>
      <c r="D299" s="759" t="s">
        <v>2553</v>
      </c>
    </row>
    <row r="300" spans="1:4" x14ac:dyDescent="0.25">
      <c r="A300" s="755"/>
      <c r="B300" s="288" t="s">
        <v>1242</v>
      </c>
      <c r="C300" s="289" t="s">
        <v>1252</v>
      </c>
      <c r="D300" s="759"/>
    </row>
    <row r="301" spans="1:4" ht="15.75" thickBot="1" x14ac:dyDescent="0.3">
      <c r="A301" s="756"/>
      <c r="B301" s="290" t="s">
        <v>2539</v>
      </c>
      <c r="C301" s="291" t="s">
        <v>52</v>
      </c>
      <c r="D301" s="760"/>
    </row>
    <row r="302" spans="1:4" x14ac:dyDescent="0.25">
      <c r="A302" s="754">
        <v>76</v>
      </c>
      <c r="B302" s="285" t="s">
        <v>1239</v>
      </c>
      <c r="C302" s="286" t="s">
        <v>1610</v>
      </c>
      <c r="D302" s="287" t="s">
        <v>47</v>
      </c>
    </row>
    <row r="303" spans="1:4" ht="45" x14ac:dyDescent="0.25">
      <c r="A303" s="755"/>
      <c r="B303" s="288" t="s">
        <v>1241</v>
      </c>
      <c r="C303" s="289" t="s">
        <v>529</v>
      </c>
      <c r="D303" s="759" t="s">
        <v>2592</v>
      </c>
    </row>
    <row r="304" spans="1:4" x14ac:dyDescent="0.25">
      <c r="A304" s="755"/>
      <c r="B304" s="288" t="s">
        <v>1242</v>
      </c>
      <c r="C304" s="289" t="s">
        <v>1252</v>
      </c>
      <c r="D304" s="759"/>
    </row>
    <row r="305" spans="1:4" ht="15.75" thickBot="1" x14ac:dyDescent="0.3">
      <c r="A305" s="756"/>
      <c r="B305" s="290" t="s">
        <v>2539</v>
      </c>
      <c r="C305" s="291" t="s">
        <v>152</v>
      </c>
      <c r="D305" s="760"/>
    </row>
    <row r="306" spans="1:4" x14ac:dyDescent="0.25">
      <c r="A306" s="754">
        <v>77</v>
      </c>
      <c r="B306" s="285" t="s">
        <v>1239</v>
      </c>
      <c r="C306" s="286" t="s">
        <v>1614</v>
      </c>
      <c r="D306" s="287" t="s">
        <v>47</v>
      </c>
    </row>
    <row r="307" spans="1:4" ht="45" x14ac:dyDescent="0.25">
      <c r="A307" s="755"/>
      <c r="B307" s="288" t="s">
        <v>1241</v>
      </c>
      <c r="C307" s="289" t="s">
        <v>531</v>
      </c>
      <c r="D307" s="759" t="s">
        <v>2593</v>
      </c>
    </row>
    <row r="308" spans="1:4" x14ac:dyDescent="0.25">
      <c r="A308" s="755"/>
      <c r="B308" s="288" t="s">
        <v>1242</v>
      </c>
      <c r="C308" s="289" t="s">
        <v>1252</v>
      </c>
      <c r="D308" s="759"/>
    </row>
    <row r="309" spans="1:4" ht="15.75" thickBot="1" x14ac:dyDescent="0.3">
      <c r="A309" s="756"/>
      <c r="B309" s="290" t="s">
        <v>2539</v>
      </c>
      <c r="C309" s="291" t="s">
        <v>152</v>
      </c>
      <c r="D309" s="760"/>
    </row>
    <row r="310" spans="1:4" x14ac:dyDescent="0.25">
      <c r="A310" s="754">
        <v>78</v>
      </c>
      <c r="B310" s="285" t="s">
        <v>1239</v>
      </c>
      <c r="C310" s="286" t="s">
        <v>1563</v>
      </c>
      <c r="D310" s="287" t="s">
        <v>47</v>
      </c>
    </row>
    <row r="311" spans="1:4" ht="22.5" x14ac:dyDescent="0.25">
      <c r="A311" s="755"/>
      <c r="B311" s="288" t="s">
        <v>1241</v>
      </c>
      <c r="C311" s="289" t="s">
        <v>527</v>
      </c>
      <c r="D311" s="759" t="s">
        <v>2594</v>
      </c>
    </row>
    <row r="312" spans="1:4" x14ac:dyDescent="0.25">
      <c r="A312" s="755"/>
      <c r="B312" s="288" t="s">
        <v>1242</v>
      </c>
      <c r="C312" s="289" t="s">
        <v>1252</v>
      </c>
      <c r="D312" s="759"/>
    </row>
    <row r="313" spans="1:4" ht="15.75" thickBot="1" x14ac:dyDescent="0.3">
      <c r="A313" s="756"/>
      <c r="B313" s="290" t="s">
        <v>2539</v>
      </c>
      <c r="C313" s="291" t="s">
        <v>52</v>
      </c>
      <c r="D313" s="760"/>
    </row>
    <row r="314" spans="1:4" x14ac:dyDescent="0.25">
      <c r="A314" s="754">
        <v>79</v>
      </c>
      <c r="B314" s="285" t="s">
        <v>1239</v>
      </c>
      <c r="C314" s="286" t="s">
        <v>1560</v>
      </c>
      <c r="D314" s="287" t="s">
        <v>47</v>
      </c>
    </row>
    <row r="315" spans="1:4" ht="22.5" x14ac:dyDescent="0.25">
      <c r="A315" s="755"/>
      <c r="B315" s="288" t="s">
        <v>1241</v>
      </c>
      <c r="C315" s="289" t="s">
        <v>525</v>
      </c>
      <c r="D315" s="759" t="s">
        <v>2595</v>
      </c>
    </row>
    <row r="316" spans="1:4" x14ac:dyDescent="0.25">
      <c r="A316" s="755"/>
      <c r="B316" s="288" t="s">
        <v>1242</v>
      </c>
      <c r="C316" s="289" t="s">
        <v>1252</v>
      </c>
      <c r="D316" s="759"/>
    </row>
    <row r="317" spans="1:4" ht="15.75" thickBot="1" x14ac:dyDescent="0.3">
      <c r="A317" s="756"/>
      <c r="B317" s="290" t="s">
        <v>2539</v>
      </c>
      <c r="C317" s="291" t="s">
        <v>152</v>
      </c>
      <c r="D317" s="760"/>
    </row>
    <row r="318" spans="1:4" x14ac:dyDescent="0.25">
      <c r="A318" s="754">
        <v>80</v>
      </c>
      <c r="B318" s="285" t="s">
        <v>1239</v>
      </c>
      <c r="C318" s="286" t="s">
        <v>4294</v>
      </c>
      <c r="D318" s="287" t="s">
        <v>47</v>
      </c>
    </row>
    <row r="319" spans="1:4" ht="33.75" x14ac:dyDescent="0.25">
      <c r="A319" s="755"/>
      <c r="B319" s="288" t="s">
        <v>1241</v>
      </c>
      <c r="C319" s="289" t="s">
        <v>3412</v>
      </c>
      <c r="D319" s="759" t="s">
        <v>4734</v>
      </c>
    </row>
    <row r="320" spans="1:4" x14ac:dyDescent="0.25">
      <c r="A320" s="755"/>
      <c r="B320" s="288" t="s">
        <v>1242</v>
      </c>
      <c r="C320" s="289" t="s">
        <v>1252</v>
      </c>
      <c r="D320" s="759"/>
    </row>
    <row r="321" spans="1:4" ht="15.75" thickBot="1" x14ac:dyDescent="0.3">
      <c r="A321" s="756"/>
      <c r="B321" s="290" t="s">
        <v>2539</v>
      </c>
      <c r="C321" s="291" t="s">
        <v>52</v>
      </c>
      <c r="D321" s="760"/>
    </row>
    <row r="322" spans="1:4" x14ac:dyDescent="0.25">
      <c r="A322" s="754">
        <v>81</v>
      </c>
      <c r="B322" s="285" t="s">
        <v>1239</v>
      </c>
      <c r="C322" s="286" t="s">
        <v>4028</v>
      </c>
      <c r="D322" s="287" t="s">
        <v>47</v>
      </c>
    </row>
    <row r="323" spans="1:4" ht="45" x14ac:dyDescent="0.25">
      <c r="A323" s="755"/>
      <c r="B323" s="288" t="s">
        <v>1241</v>
      </c>
      <c r="C323" s="289" t="s">
        <v>4735</v>
      </c>
      <c r="D323" s="759" t="s">
        <v>2553</v>
      </c>
    </row>
    <row r="324" spans="1:4" x14ac:dyDescent="0.25">
      <c r="A324" s="755"/>
      <c r="B324" s="288" t="s">
        <v>1242</v>
      </c>
      <c r="C324" s="289" t="s">
        <v>1252</v>
      </c>
      <c r="D324" s="759"/>
    </row>
    <row r="325" spans="1:4" ht="15.75" thickBot="1" x14ac:dyDescent="0.3">
      <c r="A325" s="756"/>
      <c r="B325" s="290" t="s">
        <v>2539</v>
      </c>
      <c r="C325" s="291" t="s">
        <v>52</v>
      </c>
      <c r="D325" s="760"/>
    </row>
    <row r="326" spans="1:4" x14ac:dyDescent="0.25">
      <c r="A326" s="754">
        <v>82</v>
      </c>
      <c r="B326" s="285" t="s">
        <v>1239</v>
      </c>
      <c r="C326" s="286" t="s">
        <v>2000</v>
      </c>
      <c r="D326" s="287" t="s">
        <v>47</v>
      </c>
    </row>
    <row r="327" spans="1:4" x14ac:dyDescent="0.25">
      <c r="A327" s="755"/>
      <c r="B327" s="288" t="s">
        <v>1241</v>
      </c>
      <c r="C327" s="289" t="s">
        <v>391</v>
      </c>
      <c r="D327" s="759" t="s">
        <v>2596</v>
      </c>
    </row>
    <row r="328" spans="1:4" ht="22.5" customHeight="1" x14ac:dyDescent="0.25">
      <c r="A328" s="755"/>
      <c r="B328" s="288" t="s">
        <v>1242</v>
      </c>
      <c r="C328" s="289" t="s">
        <v>1936</v>
      </c>
      <c r="D328" s="759"/>
    </row>
    <row r="329" spans="1:4" ht="15.75" thickBot="1" x14ac:dyDescent="0.3">
      <c r="A329" s="756"/>
      <c r="B329" s="290" t="s">
        <v>2539</v>
      </c>
      <c r="C329" s="291" t="s">
        <v>52</v>
      </c>
      <c r="D329" s="760"/>
    </row>
    <row r="330" spans="1:4" x14ac:dyDescent="0.25">
      <c r="A330" s="754">
        <v>83</v>
      </c>
      <c r="B330" s="285" t="s">
        <v>1239</v>
      </c>
      <c r="C330" s="286" t="s">
        <v>3970</v>
      </c>
      <c r="D330" s="287" t="s">
        <v>47</v>
      </c>
    </row>
    <row r="331" spans="1:4" x14ac:dyDescent="0.25">
      <c r="A331" s="755"/>
      <c r="B331" s="288" t="s">
        <v>1241</v>
      </c>
      <c r="C331" s="289" t="s">
        <v>2712</v>
      </c>
      <c r="D331" s="757" t="s">
        <v>4736</v>
      </c>
    </row>
    <row r="332" spans="1:4" x14ac:dyDescent="0.25">
      <c r="A332" s="755"/>
      <c r="B332" s="288" t="s">
        <v>1242</v>
      </c>
      <c r="C332" s="289" t="s">
        <v>1353</v>
      </c>
      <c r="D332" s="757"/>
    </row>
    <row r="333" spans="1:4" ht="15.75" thickBot="1" x14ac:dyDescent="0.3">
      <c r="A333" s="756"/>
      <c r="B333" s="290" t="s">
        <v>2539</v>
      </c>
      <c r="C333" s="291" t="s">
        <v>103</v>
      </c>
      <c r="D333" s="758"/>
    </row>
    <row r="334" spans="1:4" x14ac:dyDescent="0.25">
      <c r="A334" s="754">
        <v>84</v>
      </c>
      <c r="B334" s="285" t="s">
        <v>1239</v>
      </c>
      <c r="C334" s="286" t="s">
        <v>1768</v>
      </c>
      <c r="D334" s="287" t="s">
        <v>47</v>
      </c>
    </row>
    <row r="335" spans="1:4" ht="22.5" x14ac:dyDescent="0.25">
      <c r="A335" s="755"/>
      <c r="B335" s="288" t="s">
        <v>1241</v>
      </c>
      <c r="C335" s="289" t="s">
        <v>2597</v>
      </c>
      <c r="D335" s="759" t="s">
        <v>2553</v>
      </c>
    </row>
    <row r="336" spans="1:4" x14ac:dyDescent="0.25">
      <c r="A336" s="755"/>
      <c r="B336" s="288" t="s">
        <v>1242</v>
      </c>
      <c r="C336" s="289" t="s">
        <v>1252</v>
      </c>
      <c r="D336" s="759"/>
    </row>
    <row r="337" spans="1:4" ht="15.75" thickBot="1" x14ac:dyDescent="0.3">
      <c r="A337" s="756"/>
      <c r="B337" s="290" t="s">
        <v>2539</v>
      </c>
      <c r="C337" s="291" t="s">
        <v>52</v>
      </c>
      <c r="D337" s="760"/>
    </row>
    <row r="338" spans="1:4" x14ac:dyDescent="0.25">
      <c r="A338" s="754">
        <v>85</v>
      </c>
      <c r="B338" s="285" t="s">
        <v>1239</v>
      </c>
      <c r="C338" s="286" t="s">
        <v>1267</v>
      </c>
      <c r="D338" s="287" t="s">
        <v>47</v>
      </c>
    </row>
    <row r="339" spans="1:4" ht="22.5" x14ac:dyDescent="0.25">
      <c r="A339" s="755"/>
      <c r="B339" s="288" t="s">
        <v>1241</v>
      </c>
      <c r="C339" s="289" t="s">
        <v>406</v>
      </c>
      <c r="D339" s="759" t="s">
        <v>2598</v>
      </c>
    </row>
    <row r="340" spans="1:4" x14ac:dyDescent="0.25">
      <c r="A340" s="755"/>
      <c r="B340" s="288" t="s">
        <v>1242</v>
      </c>
      <c r="C340" s="289" t="s">
        <v>1252</v>
      </c>
      <c r="D340" s="759"/>
    </row>
    <row r="341" spans="1:4" ht="15.75" thickBot="1" x14ac:dyDescent="0.3">
      <c r="A341" s="756"/>
      <c r="B341" s="290" t="s">
        <v>2539</v>
      </c>
      <c r="C341" s="291" t="s">
        <v>52</v>
      </c>
      <c r="D341" s="760"/>
    </row>
    <row r="342" spans="1:4" x14ac:dyDescent="0.25">
      <c r="A342" s="754">
        <v>86</v>
      </c>
      <c r="B342" s="285" t="s">
        <v>1239</v>
      </c>
      <c r="C342" s="286" t="s">
        <v>1881</v>
      </c>
      <c r="D342" s="287" t="s">
        <v>47</v>
      </c>
    </row>
    <row r="343" spans="1:4" ht="33.75" x14ac:dyDescent="0.25">
      <c r="A343" s="755"/>
      <c r="B343" s="288" t="s">
        <v>1241</v>
      </c>
      <c r="C343" s="289" t="s">
        <v>593</v>
      </c>
      <c r="D343" s="759" t="s">
        <v>2548</v>
      </c>
    </row>
    <row r="344" spans="1:4" x14ac:dyDescent="0.25">
      <c r="A344" s="755"/>
      <c r="B344" s="288" t="s">
        <v>1242</v>
      </c>
      <c r="C344" s="289" t="s">
        <v>1252</v>
      </c>
      <c r="D344" s="759"/>
    </row>
    <row r="345" spans="1:4" ht="15.75" thickBot="1" x14ac:dyDescent="0.3">
      <c r="A345" s="756"/>
      <c r="B345" s="290" t="s">
        <v>2539</v>
      </c>
      <c r="C345" s="291" t="s">
        <v>52</v>
      </c>
      <c r="D345" s="760"/>
    </row>
    <row r="346" spans="1:4" x14ac:dyDescent="0.25">
      <c r="A346" s="754">
        <v>87</v>
      </c>
      <c r="B346" s="285" t="s">
        <v>1239</v>
      </c>
      <c r="C346" s="286" t="s">
        <v>1687</v>
      </c>
      <c r="D346" s="287" t="s">
        <v>47</v>
      </c>
    </row>
    <row r="347" spans="1:4" ht="22.5" x14ac:dyDescent="0.25">
      <c r="A347" s="755"/>
      <c r="B347" s="288" t="s">
        <v>1241</v>
      </c>
      <c r="C347" s="289" t="s">
        <v>542</v>
      </c>
      <c r="D347" s="759" t="s">
        <v>2587</v>
      </c>
    </row>
    <row r="348" spans="1:4" x14ac:dyDescent="0.25">
      <c r="A348" s="755"/>
      <c r="B348" s="288" t="s">
        <v>1242</v>
      </c>
      <c r="C348" s="289" t="s">
        <v>1252</v>
      </c>
      <c r="D348" s="759"/>
    </row>
    <row r="349" spans="1:4" ht="15.75" thickBot="1" x14ac:dyDescent="0.3">
      <c r="A349" s="756"/>
      <c r="B349" s="290" t="s">
        <v>2539</v>
      </c>
      <c r="C349" s="291" t="s">
        <v>52</v>
      </c>
      <c r="D349" s="760"/>
    </row>
    <row r="350" spans="1:4" x14ac:dyDescent="0.25">
      <c r="A350" s="754">
        <v>88</v>
      </c>
      <c r="B350" s="285" t="s">
        <v>1239</v>
      </c>
      <c r="C350" s="286" t="s">
        <v>1764</v>
      </c>
      <c r="D350" s="287" t="s">
        <v>47</v>
      </c>
    </row>
    <row r="351" spans="1:4" ht="33.75" x14ac:dyDescent="0.25">
      <c r="A351" s="755"/>
      <c r="B351" s="288" t="s">
        <v>1241</v>
      </c>
      <c r="C351" s="289" t="s">
        <v>416</v>
      </c>
      <c r="D351" s="759" t="s">
        <v>2599</v>
      </c>
    </row>
    <row r="352" spans="1:4" x14ac:dyDescent="0.25">
      <c r="A352" s="755"/>
      <c r="B352" s="288" t="s">
        <v>1242</v>
      </c>
      <c r="C352" s="289" t="s">
        <v>1252</v>
      </c>
      <c r="D352" s="759"/>
    </row>
    <row r="353" spans="1:4" ht="15.75" thickBot="1" x14ac:dyDescent="0.3">
      <c r="A353" s="756"/>
      <c r="B353" s="290" t="s">
        <v>2539</v>
      </c>
      <c r="C353" s="291" t="s">
        <v>52</v>
      </c>
      <c r="D353" s="760"/>
    </row>
    <row r="354" spans="1:4" x14ac:dyDescent="0.25">
      <c r="A354" s="754">
        <v>89</v>
      </c>
      <c r="B354" s="285" t="s">
        <v>1239</v>
      </c>
      <c r="C354" s="286" t="s">
        <v>1556</v>
      </c>
      <c r="D354" s="287" t="s">
        <v>47</v>
      </c>
    </row>
    <row r="355" spans="1:4" ht="22.5" x14ac:dyDescent="0.25">
      <c r="A355" s="755"/>
      <c r="B355" s="288" t="s">
        <v>1241</v>
      </c>
      <c r="C355" s="289" t="s">
        <v>523</v>
      </c>
      <c r="D355" s="759" t="s">
        <v>2599</v>
      </c>
    </row>
    <row r="356" spans="1:4" x14ac:dyDescent="0.25">
      <c r="A356" s="755"/>
      <c r="B356" s="288" t="s">
        <v>1242</v>
      </c>
      <c r="C356" s="289" t="s">
        <v>1252</v>
      </c>
      <c r="D356" s="759"/>
    </row>
    <row r="357" spans="1:4" ht="15.75" thickBot="1" x14ac:dyDescent="0.3">
      <c r="A357" s="756"/>
      <c r="B357" s="290" t="s">
        <v>2539</v>
      </c>
      <c r="C357" s="291" t="s">
        <v>52</v>
      </c>
      <c r="D357" s="760"/>
    </row>
    <row r="358" spans="1:4" x14ac:dyDescent="0.25">
      <c r="A358" s="754">
        <v>90</v>
      </c>
      <c r="B358" s="285" t="s">
        <v>1239</v>
      </c>
      <c r="C358" s="286" t="s">
        <v>2441</v>
      </c>
      <c r="D358" s="287" t="s">
        <v>47</v>
      </c>
    </row>
    <row r="359" spans="1:4" x14ac:dyDescent="0.25">
      <c r="A359" s="755"/>
      <c r="B359" s="288" t="s">
        <v>1241</v>
      </c>
      <c r="C359" s="289" t="s">
        <v>466</v>
      </c>
      <c r="D359" s="759" t="s">
        <v>2600</v>
      </c>
    </row>
    <row r="360" spans="1:4" x14ac:dyDescent="0.25">
      <c r="A360" s="755"/>
      <c r="B360" s="288" t="s">
        <v>1242</v>
      </c>
      <c r="C360" s="289" t="s">
        <v>1379</v>
      </c>
      <c r="D360" s="759"/>
    </row>
    <row r="361" spans="1:4" ht="15.75" thickBot="1" x14ac:dyDescent="0.3">
      <c r="A361" s="756"/>
      <c r="B361" s="290" t="s">
        <v>2539</v>
      </c>
      <c r="C361" s="291" t="s">
        <v>103</v>
      </c>
      <c r="D361" s="760"/>
    </row>
    <row r="362" spans="1:4" x14ac:dyDescent="0.25">
      <c r="A362" s="754">
        <v>91</v>
      </c>
      <c r="B362" s="285" t="s">
        <v>1239</v>
      </c>
      <c r="C362" s="286" t="s">
        <v>4073</v>
      </c>
      <c r="D362" s="287" t="s">
        <v>47</v>
      </c>
    </row>
    <row r="363" spans="1:4" ht="22.5" x14ac:dyDescent="0.25">
      <c r="A363" s="755"/>
      <c r="B363" s="288" t="s">
        <v>1241</v>
      </c>
      <c r="C363" s="289" t="s">
        <v>2824</v>
      </c>
      <c r="D363" s="759" t="s">
        <v>2553</v>
      </c>
    </row>
    <row r="364" spans="1:4" x14ac:dyDescent="0.25">
      <c r="A364" s="755"/>
      <c r="B364" s="288" t="s">
        <v>1242</v>
      </c>
      <c r="C364" s="289" t="s">
        <v>1252</v>
      </c>
      <c r="D364" s="759"/>
    </row>
    <row r="365" spans="1:4" ht="15.75" thickBot="1" x14ac:dyDescent="0.3">
      <c r="A365" s="756"/>
      <c r="B365" s="290" t="s">
        <v>2539</v>
      </c>
      <c r="C365" s="291" t="s">
        <v>52</v>
      </c>
      <c r="D365" s="760"/>
    </row>
    <row r="366" spans="1:4" x14ac:dyDescent="0.25">
      <c r="A366" s="754">
        <v>92</v>
      </c>
      <c r="B366" s="285" t="s">
        <v>1239</v>
      </c>
      <c r="C366" s="286" t="s">
        <v>1681</v>
      </c>
      <c r="D366" s="287" t="s">
        <v>47</v>
      </c>
    </row>
    <row r="367" spans="1:4" ht="22.5" x14ac:dyDescent="0.25">
      <c r="A367" s="755"/>
      <c r="B367" s="288" t="s">
        <v>1241</v>
      </c>
      <c r="C367" s="289" t="s">
        <v>538</v>
      </c>
      <c r="D367" s="759" t="s">
        <v>2553</v>
      </c>
    </row>
    <row r="368" spans="1:4" x14ac:dyDescent="0.25">
      <c r="A368" s="755"/>
      <c r="B368" s="288" t="s">
        <v>1242</v>
      </c>
      <c r="C368" s="289" t="s">
        <v>1252</v>
      </c>
      <c r="D368" s="759"/>
    </row>
    <row r="369" spans="1:4" ht="15.75" thickBot="1" x14ac:dyDescent="0.3">
      <c r="A369" s="756"/>
      <c r="B369" s="290" t="s">
        <v>2539</v>
      </c>
      <c r="C369" s="291" t="s">
        <v>52</v>
      </c>
      <c r="D369" s="760"/>
    </row>
    <row r="370" spans="1:4" x14ac:dyDescent="0.25">
      <c r="A370" s="754">
        <v>93</v>
      </c>
      <c r="B370" s="285" t="s">
        <v>1239</v>
      </c>
      <c r="C370" s="286" t="s">
        <v>1749</v>
      </c>
      <c r="D370" s="287" t="s">
        <v>47</v>
      </c>
    </row>
    <row r="371" spans="1:4" x14ac:dyDescent="0.25">
      <c r="A371" s="755"/>
      <c r="B371" s="288" t="s">
        <v>1241</v>
      </c>
      <c r="C371" s="289" t="s">
        <v>545</v>
      </c>
      <c r="D371" s="759" t="s">
        <v>2601</v>
      </c>
    </row>
    <row r="372" spans="1:4" x14ac:dyDescent="0.25">
      <c r="A372" s="755"/>
      <c r="B372" s="288" t="s">
        <v>1242</v>
      </c>
      <c r="C372" s="289" t="s">
        <v>1750</v>
      </c>
      <c r="D372" s="759"/>
    </row>
    <row r="373" spans="1:4" ht="15.75" thickBot="1" x14ac:dyDescent="0.3">
      <c r="A373" s="756"/>
      <c r="B373" s="290" t="s">
        <v>2539</v>
      </c>
      <c r="C373" s="291" t="s">
        <v>75</v>
      </c>
      <c r="D373" s="760"/>
    </row>
    <row r="374" spans="1:4" x14ac:dyDescent="0.25">
      <c r="A374" s="754">
        <v>94</v>
      </c>
      <c r="B374" s="285" t="s">
        <v>1239</v>
      </c>
      <c r="C374" s="286" t="s">
        <v>1684</v>
      </c>
      <c r="D374" s="287" t="s">
        <v>47</v>
      </c>
    </row>
    <row r="375" spans="1:4" x14ac:dyDescent="0.25">
      <c r="A375" s="755"/>
      <c r="B375" s="288" t="s">
        <v>1241</v>
      </c>
      <c r="C375" s="289" t="s">
        <v>540</v>
      </c>
      <c r="D375" s="759" t="s">
        <v>2602</v>
      </c>
    </row>
    <row r="376" spans="1:4" x14ac:dyDescent="0.25">
      <c r="A376" s="755"/>
      <c r="B376" s="288" t="s">
        <v>1242</v>
      </c>
      <c r="C376" s="289" t="s">
        <v>1252</v>
      </c>
      <c r="D376" s="759"/>
    </row>
    <row r="377" spans="1:4" ht="15.75" thickBot="1" x14ac:dyDescent="0.3">
      <c r="A377" s="756"/>
      <c r="B377" s="290" t="s">
        <v>2539</v>
      </c>
      <c r="C377" s="291" t="s">
        <v>52</v>
      </c>
      <c r="D377" s="760"/>
    </row>
    <row r="378" spans="1:4" x14ac:dyDescent="0.25">
      <c r="A378" s="754">
        <v>95</v>
      </c>
      <c r="B378" s="285" t="s">
        <v>1239</v>
      </c>
      <c r="C378" s="286" t="s">
        <v>1331</v>
      </c>
      <c r="D378" s="287" t="s">
        <v>47</v>
      </c>
    </row>
    <row r="379" spans="1:4" x14ac:dyDescent="0.25">
      <c r="A379" s="755"/>
      <c r="B379" s="288" t="s">
        <v>1241</v>
      </c>
      <c r="C379" s="289" t="s">
        <v>482</v>
      </c>
      <c r="D379" s="757" t="s">
        <v>2603</v>
      </c>
    </row>
    <row r="380" spans="1:4" x14ac:dyDescent="0.25">
      <c r="A380" s="755"/>
      <c r="B380" s="288" t="s">
        <v>1242</v>
      </c>
      <c r="C380" s="289" t="s">
        <v>1247</v>
      </c>
      <c r="D380" s="757"/>
    </row>
    <row r="381" spans="1:4" ht="15.75" thickBot="1" x14ac:dyDescent="0.3">
      <c r="A381" s="756"/>
      <c r="B381" s="290" t="s">
        <v>2539</v>
      </c>
      <c r="C381" s="291" t="s">
        <v>103</v>
      </c>
      <c r="D381" s="758"/>
    </row>
    <row r="382" spans="1:4" x14ac:dyDescent="0.25">
      <c r="A382" s="754">
        <v>96</v>
      </c>
      <c r="B382" s="285" t="s">
        <v>1239</v>
      </c>
      <c r="C382" s="286" t="s">
        <v>2037</v>
      </c>
      <c r="D382" s="287" t="s">
        <v>47</v>
      </c>
    </row>
    <row r="383" spans="1:4" ht="22.5" x14ac:dyDescent="0.25">
      <c r="A383" s="755"/>
      <c r="B383" s="288" t="s">
        <v>1241</v>
      </c>
      <c r="C383" s="289" t="s">
        <v>642</v>
      </c>
      <c r="D383" s="759" t="s">
        <v>2604</v>
      </c>
    </row>
    <row r="384" spans="1:4" ht="22.5" customHeight="1" x14ac:dyDescent="0.25">
      <c r="A384" s="755"/>
      <c r="B384" s="288" t="s">
        <v>1242</v>
      </c>
      <c r="C384" s="289" t="s">
        <v>1936</v>
      </c>
      <c r="D384" s="759"/>
    </row>
    <row r="385" spans="1:4" ht="15.75" thickBot="1" x14ac:dyDescent="0.3">
      <c r="A385" s="756"/>
      <c r="B385" s="290" t="s">
        <v>2539</v>
      </c>
      <c r="C385" s="291" t="s">
        <v>52</v>
      </c>
      <c r="D385" s="760"/>
    </row>
    <row r="386" spans="1:4" x14ac:dyDescent="0.25">
      <c r="A386" s="754">
        <v>97</v>
      </c>
      <c r="B386" s="285" t="s">
        <v>1239</v>
      </c>
      <c r="C386" s="286" t="s">
        <v>2026</v>
      </c>
      <c r="D386" s="287" t="s">
        <v>47</v>
      </c>
    </row>
    <row r="387" spans="1:4" x14ac:dyDescent="0.25">
      <c r="A387" s="755"/>
      <c r="B387" s="288" t="s">
        <v>1241</v>
      </c>
      <c r="C387" s="289" t="s">
        <v>639</v>
      </c>
      <c r="D387" s="759" t="s">
        <v>2605</v>
      </c>
    </row>
    <row r="388" spans="1:4" ht="22.5" customHeight="1" x14ac:dyDescent="0.25">
      <c r="A388" s="755"/>
      <c r="B388" s="288" t="s">
        <v>1242</v>
      </c>
      <c r="C388" s="289" t="s">
        <v>1936</v>
      </c>
      <c r="D388" s="759"/>
    </row>
    <row r="389" spans="1:4" ht="15.75" thickBot="1" x14ac:dyDescent="0.3">
      <c r="A389" s="756"/>
      <c r="B389" s="290" t="s">
        <v>2539</v>
      </c>
      <c r="C389" s="291" t="s">
        <v>52</v>
      </c>
      <c r="D389" s="760"/>
    </row>
    <row r="390" spans="1:4" x14ac:dyDescent="0.25">
      <c r="A390" s="754">
        <v>98</v>
      </c>
      <c r="B390" s="285" t="s">
        <v>1239</v>
      </c>
      <c r="C390" s="286" t="s">
        <v>2052</v>
      </c>
      <c r="D390" s="287" t="s">
        <v>47</v>
      </c>
    </row>
    <row r="391" spans="1:4" ht="22.5" x14ac:dyDescent="0.25">
      <c r="A391" s="755"/>
      <c r="B391" s="288" t="s">
        <v>1241</v>
      </c>
      <c r="C391" s="289" t="s">
        <v>643</v>
      </c>
      <c r="D391" s="759" t="s">
        <v>2606</v>
      </c>
    </row>
    <row r="392" spans="1:4" ht="22.5" customHeight="1" x14ac:dyDescent="0.25">
      <c r="A392" s="755"/>
      <c r="B392" s="288" t="s">
        <v>1242</v>
      </c>
      <c r="C392" s="289" t="s">
        <v>1936</v>
      </c>
      <c r="D392" s="759"/>
    </row>
    <row r="393" spans="1:4" ht="15.75" thickBot="1" x14ac:dyDescent="0.3">
      <c r="A393" s="756"/>
      <c r="B393" s="290" t="s">
        <v>2539</v>
      </c>
      <c r="C393" s="291" t="s">
        <v>52</v>
      </c>
      <c r="D393" s="760"/>
    </row>
    <row r="394" spans="1:4" x14ac:dyDescent="0.25">
      <c r="A394" s="754">
        <v>99</v>
      </c>
      <c r="B394" s="285" t="s">
        <v>1239</v>
      </c>
      <c r="C394" s="286" t="s">
        <v>1996</v>
      </c>
      <c r="D394" s="287" t="s">
        <v>47</v>
      </c>
    </row>
    <row r="395" spans="1:4" ht="22.5" x14ac:dyDescent="0.25">
      <c r="A395" s="755"/>
      <c r="B395" s="288" t="s">
        <v>1241</v>
      </c>
      <c r="C395" s="289" t="s">
        <v>635</v>
      </c>
      <c r="D395" s="759" t="s">
        <v>2572</v>
      </c>
    </row>
    <row r="396" spans="1:4" ht="22.5" customHeight="1" x14ac:dyDescent="0.25">
      <c r="A396" s="755"/>
      <c r="B396" s="288" t="s">
        <v>1242</v>
      </c>
      <c r="C396" s="289" t="s">
        <v>1936</v>
      </c>
      <c r="D396" s="759"/>
    </row>
    <row r="397" spans="1:4" ht="15.75" thickBot="1" x14ac:dyDescent="0.3">
      <c r="A397" s="756"/>
      <c r="B397" s="290" t="s">
        <v>2539</v>
      </c>
      <c r="C397" s="291" t="s">
        <v>52</v>
      </c>
      <c r="D397" s="760"/>
    </row>
    <row r="398" spans="1:4" x14ac:dyDescent="0.25">
      <c r="A398" s="754">
        <v>100</v>
      </c>
      <c r="B398" s="285" t="s">
        <v>1239</v>
      </c>
      <c r="C398" s="286" t="s">
        <v>1935</v>
      </c>
      <c r="D398" s="287" t="s">
        <v>47</v>
      </c>
    </row>
    <row r="399" spans="1:4" x14ac:dyDescent="0.25">
      <c r="A399" s="755"/>
      <c r="B399" s="288" t="s">
        <v>1241</v>
      </c>
      <c r="C399" s="289" t="s">
        <v>2607</v>
      </c>
      <c r="D399" s="759" t="s">
        <v>2608</v>
      </c>
    </row>
    <row r="400" spans="1:4" ht="22.5" customHeight="1" x14ac:dyDescent="0.25">
      <c r="A400" s="755"/>
      <c r="B400" s="288" t="s">
        <v>1242</v>
      </c>
      <c r="C400" s="289" t="s">
        <v>1936</v>
      </c>
      <c r="D400" s="759"/>
    </row>
    <row r="401" spans="1:4" ht="15.75" thickBot="1" x14ac:dyDescent="0.3">
      <c r="A401" s="756"/>
      <c r="B401" s="290" t="s">
        <v>2539</v>
      </c>
      <c r="C401" s="291" t="s">
        <v>75</v>
      </c>
      <c r="D401" s="760"/>
    </row>
    <row r="402" spans="1:4" x14ac:dyDescent="0.25">
      <c r="A402" s="754">
        <v>101</v>
      </c>
      <c r="B402" s="285" t="s">
        <v>1239</v>
      </c>
      <c r="C402" s="286" t="s">
        <v>4413</v>
      </c>
      <c r="D402" s="287" t="s">
        <v>47</v>
      </c>
    </row>
    <row r="403" spans="1:4" x14ac:dyDescent="0.25">
      <c r="A403" s="755"/>
      <c r="B403" s="288" t="s">
        <v>1241</v>
      </c>
      <c r="C403" s="289" t="s">
        <v>4737</v>
      </c>
      <c r="D403" s="759" t="s">
        <v>4738</v>
      </c>
    </row>
    <row r="404" spans="1:4" ht="22.5" customHeight="1" x14ac:dyDescent="0.25">
      <c r="A404" s="755"/>
      <c r="B404" s="288" t="s">
        <v>1242</v>
      </c>
      <c r="C404" s="289" t="s">
        <v>1936</v>
      </c>
      <c r="D404" s="759"/>
    </row>
    <row r="405" spans="1:4" ht="15.75" thickBot="1" x14ac:dyDescent="0.3">
      <c r="A405" s="756"/>
      <c r="B405" s="290" t="s">
        <v>2539</v>
      </c>
      <c r="C405" s="291" t="s">
        <v>75</v>
      </c>
      <c r="D405" s="760"/>
    </row>
    <row r="406" spans="1:4" x14ac:dyDescent="0.25">
      <c r="A406" s="754">
        <v>102</v>
      </c>
      <c r="B406" s="285" t="s">
        <v>1239</v>
      </c>
      <c r="C406" s="286" t="s">
        <v>4418</v>
      </c>
      <c r="D406" s="287" t="s">
        <v>47</v>
      </c>
    </row>
    <row r="407" spans="1:4" x14ac:dyDescent="0.25">
      <c r="A407" s="755"/>
      <c r="B407" s="288" t="s">
        <v>1241</v>
      </c>
      <c r="C407" s="289" t="s">
        <v>4739</v>
      </c>
      <c r="D407" s="759" t="s">
        <v>4740</v>
      </c>
    </row>
    <row r="408" spans="1:4" ht="22.5" customHeight="1" x14ac:dyDescent="0.25">
      <c r="A408" s="755"/>
      <c r="B408" s="288" t="s">
        <v>1242</v>
      </c>
      <c r="C408" s="289" t="s">
        <v>1936</v>
      </c>
      <c r="D408" s="759"/>
    </row>
    <row r="409" spans="1:4" ht="15.75" thickBot="1" x14ac:dyDescent="0.3">
      <c r="A409" s="756"/>
      <c r="B409" s="290" t="s">
        <v>2539</v>
      </c>
      <c r="C409" s="291" t="s">
        <v>75</v>
      </c>
      <c r="D409" s="760"/>
    </row>
    <row r="410" spans="1:4" x14ac:dyDescent="0.25">
      <c r="A410" s="754">
        <v>103</v>
      </c>
      <c r="B410" s="285" t="s">
        <v>1239</v>
      </c>
      <c r="C410" s="286" t="s">
        <v>4423</v>
      </c>
      <c r="D410" s="287" t="s">
        <v>47</v>
      </c>
    </row>
    <row r="411" spans="1:4" x14ac:dyDescent="0.25">
      <c r="A411" s="755"/>
      <c r="B411" s="288" t="s">
        <v>1241</v>
      </c>
      <c r="C411" s="289" t="s">
        <v>4741</v>
      </c>
      <c r="D411" s="759" t="s">
        <v>4742</v>
      </c>
    </row>
    <row r="412" spans="1:4" ht="22.5" customHeight="1" x14ac:dyDescent="0.25">
      <c r="A412" s="755"/>
      <c r="B412" s="288" t="s">
        <v>1242</v>
      </c>
      <c r="C412" s="289" t="s">
        <v>1936</v>
      </c>
      <c r="D412" s="759"/>
    </row>
    <row r="413" spans="1:4" ht="15.75" thickBot="1" x14ac:dyDescent="0.3">
      <c r="A413" s="756"/>
      <c r="B413" s="290" t="s">
        <v>2539</v>
      </c>
      <c r="C413" s="291" t="s">
        <v>75</v>
      </c>
      <c r="D413" s="760"/>
    </row>
    <row r="414" spans="1:4" x14ac:dyDescent="0.25">
      <c r="A414" s="754">
        <v>104</v>
      </c>
      <c r="B414" s="285" t="s">
        <v>1239</v>
      </c>
      <c r="C414" s="286" t="s">
        <v>1939</v>
      </c>
      <c r="D414" s="287" t="s">
        <v>47</v>
      </c>
    </row>
    <row r="415" spans="1:4" x14ac:dyDescent="0.25">
      <c r="A415" s="755"/>
      <c r="B415" s="288" t="s">
        <v>1241</v>
      </c>
      <c r="C415" s="289" t="s">
        <v>2609</v>
      </c>
      <c r="D415" s="759" t="s">
        <v>2610</v>
      </c>
    </row>
    <row r="416" spans="1:4" ht="22.5" customHeight="1" x14ac:dyDescent="0.25">
      <c r="A416" s="755"/>
      <c r="B416" s="288" t="s">
        <v>1242</v>
      </c>
      <c r="C416" s="289" t="s">
        <v>1936</v>
      </c>
      <c r="D416" s="759"/>
    </row>
    <row r="417" spans="1:4" ht="15.75" thickBot="1" x14ac:dyDescent="0.3">
      <c r="A417" s="756"/>
      <c r="B417" s="290" t="s">
        <v>2539</v>
      </c>
      <c r="C417" s="291" t="s">
        <v>75</v>
      </c>
      <c r="D417" s="760"/>
    </row>
    <row r="418" spans="1:4" x14ac:dyDescent="0.25">
      <c r="A418" s="754">
        <v>105</v>
      </c>
      <c r="B418" s="285" t="s">
        <v>1239</v>
      </c>
      <c r="C418" s="286" t="s">
        <v>4430</v>
      </c>
      <c r="D418" s="287" t="s">
        <v>47</v>
      </c>
    </row>
    <row r="419" spans="1:4" x14ac:dyDescent="0.25">
      <c r="A419" s="755"/>
      <c r="B419" s="288" t="s">
        <v>1241</v>
      </c>
      <c r="C419" s="289" t="s">
        <v>4743</v>
      </c>
      <c r="D419" s="759" t="s">
        <v>2611</v>
      </c>
    </row>
    <row r="420" spans="1:4" ht="22.5" customHeight="1" x14ac:dyDescent="0.25">
      <c r="A420" s="755"/>
      <c r="B420" s="288" t="s">
        <v>1242</v>
      </c>
      <c r="C420" s="289" t="s">
        <v>1936</v>
      </c>
      <c r="D420" s="759"/>
    </row>
    <row r="421" spans="1:4" ht="15.75" thickBot="1" x14ac:dyDescent="0.3">
      <c r="A421" s="756"/>
      <c r="B421" s="290" t="s">
        <v>2539</v>
      </c>
      <c r="C421" s="291" t="s">
        <v>75</v>
      </c>
      <c r="D421" s="760"/>
    </row>
    <row r="422" spans="1:4" x14ac:dyDescent="0.25">
      <c r="A422" s="754">
        <v>106</v>
      </c>
      <c r="B422" s="285" t="s">
        <v>1239</v>
      </c>
      <c r="C422" s="286" t="s">
        <v>1973</v>
      </c>
      <c r="D422" s="287" t="s">
        <v>47</v>
      </c>
    </row>
    <row r="423" spans="1:4" ht="33.75" x14ac:dyDescent="0.25">
      <c r="A423" s="755"/>
      <c r="B423" s="288" t="s">
        <v>1241</v>
      </c>
      <c r="C423" s="289" t="s">
        <v>633</v>
      </c>
      <c r="D423" s="759" t="s">
        <v>2612</v>
      </c>
    </row>
    <row r="424" spans="1:4" ht="22.5" customHeight="1" x14ac:dyDescent="0.25">
      <c r="A424" s="755"/>
      <c r="B424" s="288" t="s">
        <v>1242</v>
      </c>
      <c r="C424" s="289" t="s">
        <v>1936</v>
      </c>
      <c r="D424" s="759"/>
    </row>
    <row r="425" spans="1:4" ht="15.75" thickBot="1" x14ac:dyDescent="0.3">
      <c r="A425" s="756"/>
      <c r="B425" s="290" t="s">
        <v>2539</v>
      </c>
      <c r="C425" s="291" t="s">
        <v>75</v>
      </c>
      <c r="D425" s="760"/>
    </row>
    <row r="426" spans="1:4" x14ac:dyDescent="0.25">
      <c r="A426" s="754">
        <v>107</v>
      </c>
      <c r="B426" s="285" t="s">
        <v>1239</v>
      </c>
      <c r="C426" s="286" t="s">
        <v>4458</v>
      </c>
      <c r="D426" s="287" t="s">
        <v>47</v>
      </c>
    </row>
    <row r="427" spans="1:4" ht="22.5" x14ac:dyDescent="0.25">
      <c r="A427" s="755"/>
      <c r="B427" s="288" t="s">
        <v>1241</v>
      </c>
      <c r="C427" s="289" t="s">
        <v>3622</v>
      </c>
      <c r="D427" s="757" t="s">
        <v>4744</v>
      </c>
    </row>
    <row r="428" spans="1:4" ht="22.5" customHeight="1" x14ac:dyDescent="0.25">
      <c r="A428" s="755"/>
      <c r="B428" s="288" t="s">
        <v>1242</v>
      </c>
      <c r="C428" s="289" t="s">
        <v>1936</v>
      </c>
      <c r="D428" s="757"/>
    </row>
    <row r="429" spans="1:4" ht="15.75" thickBot="1" x14ac:dyDescent="0.3">
      <c r="A429" s="756"/>
      <c r="B429" s="290" t="s">
        <v>2539</v>
      </c>
      <c r="C429" s="291" t="s">
        <v>52</v>
      </c>
      <c r="D429" s="758"/>
    </row>
    <row r="430" spans="1:4" x14ac:dyDescent="0.25">
      <c r="A430" s="754">
        <v>108</v>
      </c>
      <c r="B430" s="285" t="s">
        <v>1239</v>
      </c>
      <c r="C430" s="286" t="s">
        <v>1280</v>
      </c>
      <c r="D430" s="287" t="s">
        <v>47</v>
      </c>
    </row>
    <row r="431" spans="1:4" ht="33.75" customHeight="1" x14ac:dyDescent="0.25">
      <c r="A431" s="755"/>
      <c r="B431" s="288" t="s">
        <v>1241</v>
      </c>
      <c r="C431" s="289" t="s">
        <v>2613</v>
      </c>
      <c r="D431" s="759" t="s">
        <v>2614</v>
      </c>
    </row>
    <row r="432" spans="1:4" x14ac:dyDescent="0.25">
      <c r="A432" s="755"/>
      <c r="B432" s="288" t="s">
        <v>1242</v>
      </c>
      <c r="C432" s="289" t="s">
        <v>1281</v>
      </c>
      <c r="D432" s="759"/>
    </row>
    <row r="433" spans="1:4" ht="15.75" thickBot="1" x14ac:dyDescent="0.3">
      <c r="A433" s="756"/>
      <c r="B433" s="290" t="s">
        <v>2539</v>
      </c>
      <c r="C433" s="291" t="s">
        <v>448</v>
      </c>
      <c r="D433" s="760"/>
    </row>
    <row r="434" spans="1:4" x14ac:dyDescent="0.25">
      <c r="A434" s="754">
        <v>109</v>
      </c>
      <c r="B434" s="285" t="s">
        <v>1239</v>
      </c>
      <c r="C434" s="286" t="s">
        <v>2324</v>
      </c>
      <c r="D434" s="287" t="s">
        <v>47</v>
      </c>
    </row>
    <row r="435" spans="1:4" ht="22.5" x14ac:dyDescent="0.25">
      <c r="A435" s="755"/>
      <c r="B435" s="288" t="s">
        <v>1241</v>
      </c>
      <c r="C435" s="289" t="s">
        <v>365</v>
      </c>
      <c r="D435" s="759" t="s">
        <v>2616</v>
      </c>
    </row>
    <row r="436" spans="1:4" x14ac:dyDescent="0.25">
      <c r="A436" s="755"/>
      <c r="B436" s="288" t="s">
        <v>1242</v>
      </c>
      <c r="C436" s="289" t="s">
        <v>1252</v>
      </c>
      <c r="D436" s="759"/>
    </row>
    <row r="437" spans="1:4" ht="15.75" thickBot="1" x14ac:dyDescent="0.3">
      <c r="A437" s="756"/>
      <c r="B437" s="290" t="s">
        <v>2539</v>
      </c>
      <c r="C437" s="291" t="s">
        <v>52</v>
      </c>
      <c r="D437" s="760"/>
    </row>
    <row r="438" spans="1:4" x14ac:dyDescent="0.25">
      <c r="A438" s="754">
        <v>110</v>
      </c>
      <c r="B438" s="285" t="s">
        <v>1239</v>
      </c>
      <c r="C438" s="286" t="s">
        <v>2328</v>
      </c>
      <c r="D438" s="287" t="s">
        <v>47</v>
      </c>
    </row>
    <row r="439" spans="1:4" ht="33.75" x14ac:dyDescent="0.25">
      <c r="A439" s="755"/>
      <c r="B439" s="288" t="s">
        <v>1241</v>
      </c>
      <c r="C439" s="289" t="s">
        <v>367</v>
      </c>
      <c r="D439" s="759" t="s">
        <v>2617</v>
      </c>
    </row>
    <row r="440" spans="1:4" x14ac:dyDescent="0.25">
      <c r="A440" s="755"/>
      <c r="B440" s="288" t="s">
        <v>1242</v>
      </c>
      <c r="C440" s="289" t="s">
        <v>1252</v>
      </c>
      <c r="D440" s="759"/>
    </row>
    <row r="441" spans="1:4" ht="15.75" thickBot="1" x14ac:dyDescent="0.3">
      <c r="A441" s="756"/>
      <c r="B441" s="290" t="s">
        <v>2539</v>
      </c>
      <c r="C441" s="291" t="s">
        <v>52</v>
      </c>
      <c r="D441" s="760"/>
    </row>
    <row r="442" spans="1:4" x14ac:dyDescent="0.25">
      <c r="A442" s="754">
        <v>111</v>
      </c>
      <c r="B442" s="285" t="s">
        <v>1239</v>
      </c>
      <c r="C442" s="286" t="s">
        <v>2335</v>
      </c>
      <c r="D442" s="287" t="s">
        <v>47</v>
      </c>
    </row>
    <row r="443" spans="1:4" ht="45" customHeight="1" x14ac:dyDescent="0.25">
      <c r="A443" s="755"/>
      <c r="B443" s="288" t="s">
        <v>1241</v>
      </c>
      <c r="C443" s="289" t="s">
        <v>369</v>
      </c>
      <c r="D443" s="759" t="s">
        <v>2616</v>
      </c>
    </row>
    <row r="444" spans="1:4" x14ac:dyDescent="0.25">
      <c r="A444" s="755"/>
      <c r="B444" s="288" t="s">
        <v>1242</v>
      </c>
      <c r="C444" s="289" t="s">
        <v>1252</v>
      </c>
      <c r="D444" s="759"/>
    </row>
    <row r="445" spans="1:4" ht="15.75" thickBot="1" x14ac:dyDescent="0.3">
      <c r="A445" s="756"/>
      <c r="B445" s="290" t="s">
        <v>2539</v>
      </c>
      <c r="C445" s="291" t="s">
        <v>52</v>
      </c>
      <c r="D445" s="760"/>
    </row>
    <row r="446" spans="1:4" x14ac:dyDescent="0.25">
      <c r="A446" s="754">
        <v>112</v>
      </c>
      <c r="B446" s="285" t="s">
        <v>1239</v>
      </c>
      <c r="C446" s="286" t="s">
        <v>2339</v>
      </c>
      <c r="D446" s="287" t="s">
        <v>47</v>
      </c>
    </row>
    <row r="447" spans="1:4" ht="22.5" x14ac:dyDescent="0.25">
      <c r="A447" s="755"/>
      <c r="B447" s="288" t="s">
        <v>1241</v>
      </c>
      <c r="C447" s="289" t="s">
        <v>371</v>
      </c>
      <c r="D447" s="759" t="s">
        <v>2618</v>
      </c>
    </row>
    <row r="448" spans="1:4" x14ac:dyDescent="0.25">
      <c r="A448" s="755"/>
      <c r="B448" s="288" t="s">
        <v>1242</v>
      </c>
      <c r="C448" s="289" t="s">
        <v>1550</v>
      </c>
      <c r="D448" s="759"/>
    </row>
    <row r="449" spans="1:4" ht="15.75" thickBot="1" x14ac:dyDescent="0.3">
      <c r="A449" s="756"/>
      <c r="B449" s="290" t="s">
        <v>2539</v>
      </c>
      <c r="C449" s="291" t="s">
        <v>52</v>
      </c>
      <c r="D449" s="760"/>
    </row>
    <row r="450" spans="1:4" x14ac:dyDescent="0.25">
      <c r="A450" s="754">
        <v>113</v>
      </c>
      <c r="B450" s="285" t="s">
        <v>1239</v>
      </c>
      <c r="C450" s="286" t="s">
        <v>2343</v>
      </c>
      <c r="D450" s="287" t="s">
        <v>47</v>
      </c>
    </row>
    <row r="451" spans="1:4" ht="22.5" x14ac:dyDescent="0.25">
      <c r="A451" s="755"/>
      <c r="B451" s="288" t="s">
        <v>1241</v>
      </c>
      <c r="C451" s="289" t="s">
        <v>373</v>
      </c>
      <c r="D451" s="759" t="s">
        <v>2619</v>
      </c>
    </row>
    <row r="452" spans="1:4" x14ac:dyDescent="0.25">
      <c r="A452" s="755"/>
      <c r="B452" s="288" t="s">
        <v>1242</v>
      </c>
      <c r="C452" s="289" t="s">
        <v>1550</v>
      </c>
      <c r="D452" s="759"/>
    </row>
    <row r="453" spans="1:4" ht="15.75" thickBot="1" x14ac:dyDescent="0.3">
      <c r="A453" s="756"/>
      <c r="B453" s="290" t="s">
        <v>2539</v>
      </c>
      <c r="C453" s="291" t="s">
        <v>52</v>
      </c>
      <c r="D453" s="760"/>
    </row>
    <row r="454" spans="1:4" x14ac:dyDescent="0.25">
      <c r="A454" s="754">
        <v>114</v>
      </c>
      <c r="B454" s="285" t="s">
        <v>1239</v>
      </c>
      <c r="C454" s="286" t="s">
        <v>2347</v>
      </c>
      <c r="D454" s="287" t="s">
        <v>47</v>
      </c>
    </row>
    <row r="455" spans="1:4" ht="22.5" x14ac:dyDescent="0.25">
      <c r="A455" s="755"/>
      <c r="B455" s="288" t="s">
        <v>1241</v>
      </c>
      <c r="C455" s="289" t="s">
        <v>375</v>
      </c>
      <c r="D455" s="759" t="s">
        <v>2620</v>
      </c>
    </row>
    <row r="456" spans="1:4" x14ac:dyDescent="0.25">
      <c r="A456" s="755"/>
      <c r="B456" s="288" t="s">
        <v>1242</v>
      </c>
      <c r="C456" s="289" t="s">
        <v>1550</v>
      </c>
      <c r="D456" s="759"/>
    </row>
    <row r="457" spans="1:4" ht="15.75" thickBot="1" x14ac:dyDescent="0.3">
      <c r="A457" s="756"/>
      <c r="B457" s="290" t="s">
        <v>2539</v>
      </c>
      <c r="C457" s="291" t="s">
        <v>52</v>
      </c>
      <c r="D457" s="760"/>
    </row>
    <row r="458" spans="1:4" x14ac:dyDescent="0.25">
      <c r="A458" s="754">
        <v>115</v>
      </c>
      <c r="B458" s="285" t="s">
        <v>1239</v>
      </c>
      <c r="C458" s="286" t="s">
        <v>2351</v>
      </c>
      <c r="D458" s="287" t="s">
        <v>47</v>
      </c>
    </row>
    <row r="459" spans="1:4" ht="22.5" x14ac:dyDescent="0.25">
      <c r="A459" s="755"/>
      <c r="B459" s="288" t="s">
        <v>1241</v>
      </c>
      <c r="C459" s="289" t="s">
        <v>377</v>
      </c>
      <c r="D459" s="759" t="s">
        <v>2621</v>
      </c>
    </row>
    <row r="460" spans="1:4" x14ac:dyDescent="0.25">
      <c r="A460" s="755"/>
      <c r="B460" s="288" t="s">
        <v>1242</v>
      </c>
      <c r="C460" s="289" t="s">
        <v>1550</v>
      </c>
      <c r="D460" s="759"/>
    </row>
    <row r="461" spans="1:4" ht="15.75" thickBot="1" x14ac:dyDescent="0.3">
      <c r="A461" s="756"/>
      <c r="B461" s="290" t="s">
        <v>2539</v>
      </c>
      <c r="C461" s="291" t="s">
        <v>52</v>
      </c>
      <c r="D461" s="760"/>
    </row>
    <row r="462" spans="1:4" x14ac:dyDescent="0.25">
      <c r="A462" s="754">
        <v>116</v>
      </c>
      <c r="B462" s="285" t="s">
        <v>1239</v>
      </c>
      <c r="C462" s="286" t="s">
        <v>2355</v>
      </c>
      <c r="D462" s="287" t="s">
        <v>47</v>
      </c>
    </row>
    <row r="463" spans="1:4" ht="45" customHeight="1" x14ac:dyDescent="0.25">
      <c r="A463" s="755"/>
      <c r="B463" s="288" t="s">
        <v>1241</v>
      </c>
      <c r="C463" s="289" t="s">
        <v>379</v>
      </c>
      <c r="D463" s="759" t="s">
        <v>2616</v>
      </c>
    </row>
    <row r="464" spans="1:4" x14ac:dyDescent="0.25">
      <c r="A464" s="755"/>
      <c r="B464" s="288" t="s">
        <v>1242</v>
      </c>
      <c r="C464" s="289" t="s">
        <v>1550</v>
      </c>
      <c r="D464" s="759"/>
    </row>
    <row r="465" spans="1:4" ht="15.75" thickBot="1" x14ac:dyDescent="0.3">
      <c r="A465" s="756"/>
      <c r="B465" s="290" t="s">
        <v>2539</v>
      </c>
      <c r="C465" s="291" t="s">
        <v>52</v>
      </c>
      <c r="D465" s="760"/>
    </row>
    <row r="466" spans="1:4" x14ac:dyDescent="0.25">
      <c r="A466" s="754">
        <v>117</v>
      </c>
      <c r="B466" s="285" t="s">
        <v>1239</v>
      </c>
      <c r="C466" s="286" t="s">
        <v>2453</v>
      </c>
      <c r="D466" s="287" t="s">
        <v>47</v>
      </c>
    </row>
    <row r="467" spans="1:4" ht="22.5" x14ac:dyDescent="0.25">
      <c r="A467" s="755"/>
      <c r="B467" s="288" t="s">
        <v>1241</v>
      </c>
      <c r="C467" s="289" t="s">
        <v>452</v>
      </c>
      <c r="D467" s="759" t="s">
        <v>2622</v>
      </c>
    </row>
    <row r="468" spans="1:4" ht="22.5" customHeight="1" x14ac:dyDescent="0.25">
      <c r="A468" s="755"/>
      <c r="B468" s="288" t="s">
        <v>1242</v>
      </c>
      <c r="C468" s="289" t="s">
        <v>1936</v>
      </c>
      <c r="D468" s="759"/>
    </row>
    <row r="469" spans="1:4" ht="15.75" thickBot="1" x14ac:dyDescent="0.3">
      <c r="A469" s="756"/>
      <c r="B469" s="290" t="s">
        <v>2539</v>
      </c>
      <c r="C469" s="291" t="s">
        <v>52</v>
      </c>
      <c r="D469" s="760"/>
    </row>
    <row r="470" spans="1:4" x14ac:dyDescent="0.25">
      <c r="A470" s="754">
        <v>118</v>
      </c>
      <c r="B470" s="285" t="s">
        <v>1239</v>
      </c>
      <c r="C470" s="286" t="s">
        <v>2425</v>
      </c>
      <c r="D470" s="287" t="s">
        <v>47</v>
      </c>
    </row>
    <row r="471" spans="1:4" ht="33.75" x14ac:dyDescent="0.25">
      <c r="A471" s="755"/>
      <c r="B471" s="288" t="s">
        <v>1241</v>
      </c>
      <c r="C471" s="289" t="s">
        <v>725</v>
      </c>
      <c r="D471" s="759" t="s">
        <v>2618</v>
      </c>
    </row>
    <row r="472" spans="1:4" x14ac:dyDescent="0.25">
      <c r="A472" s="755"/>
      <c r="B472" s="288" t="s">
        <v>1242</v>
      </c>
      <c r="C472" s="289" t="s">
        <v>1550</v>
      </c>
      <c r="D472" s="759"/>
    </row>
    <row r="473" spans="1:4" ht="15.75" thickBot="1" x14ac:dyDescent="0.3">
      <c r="A473" s="756"/>
      <c r="B473" s="290" t="s">
        <v>2539</v>
      </c>
      <c r="C473" s="291" t="s">
        <v>52</v>
      </c>
      <c r="D473" s="760"/>
    </row>
    <row r="474" spans="1:4" x14ac:dyDescent="0.25">
      <c r="A474" s="754">
        <v>119</v>
      </c>
      <c r="B474" s="285" t="s">
        <v>1239</v>
      </c>
      <c r="C474" s="286" t="s">
        <v>4022</v>
      </c>
      <c r="D474" s="287" t="s">
        <v>47</v>
      </c>
    </row>
    <row r="475" spans="1:4" ht="22.5" x14ac:dyDescent="0.25">
      <c r="A475" s="755"/>
      <c r="B475" s="288" t="s">
        <v>1241</v>
      </c>
      <c r="C475" s="289" t="s">
        <v>4745</v>
      </c>
      <c r="D475" s="757" t="s">
        <v>2553</v>
      </c>
    </row>
    <row r="476" spans="1:4" x14ac:dyDescent="0.25">
      <c r="A476" s="755"/>
      <c r="B476" s="288" t="s">
        <v>1242</v>
      </c>
      <c r="C476" s="289" t="s">
        <v>1252</v>
      </c>
      <c r="D476" s="757"/>
    </row>
    <row r="477" spans="1:4" ht="15.75" thickBot="1" x14ac:dyDescent="0.3">
      <c r="A477" s="756"/>
      <c r="B477" s="290" t="s">
        <v>2539</v>
      </c>
      <c r="C477" s="291" t="s">
        <v>52</v>
      </c>
      <c r="D477" s="758"/>
    </row>
    <row r="478" spans="1:4" x14ac:dyDescent="0.25">
      <c r="A478" s="754">
        <v>120</v>
      </c>
      <c r="B478" s="285" t="s">
        <v>1239</v>
      </c>
      <c r="C478" s="286" t="s">
        <v>1502</v>
      </c>
      <c r="D478" s="287" t="s">
        <v>47</v>
      </c>
    </row>
    <row r="479" spans="1:4" ht="33.75" x14ac:dyDescent="0.25">
      <c r="A479" s="755"/>
      <c r="B479" s="288" t="s">
        <v>1241</v>
      </c>
      <c r="C479" s="289" t="s">
        <v>2624</v>
      </c>
      <c r="D479" s="757" t="s">
        <v>2625</v>
      </c>
    </row>
    <row r="480" spans="1:4" x14ac:dyDescent="0.25">
      <c r="A480" s="755"/>
      <c r="B480" s="288" t="s">
        <v>1242</v>
      </c>
      <c r="C480" s="289" t="s">
        <v>1353</v>
      </c>
      <c r="D480" s="757"/>
    </row>
    <row r="481" spans="1:4" ht="15.75" thickBot="1" x14ac:dyDescent="0.3">
      <c r="A481" s="756"/>
      <c r="B481" s="290" t="s">
        <v>2539</v>
      </c>
      <c r="C481" s="291" t="s">
        <v>52</v>
      </c>
      <c r="D481" s="758"/>
    </row>
    <row r="482" spans="1:4" x14ac:dyDescent="0.25">
      <c r="A482" s="754">
        <v>121</v>
      </c>
      <c r="B482" s="285" t="s">
        <v>1239</v>
      </c>
      <c r="C482" s="286" t="s">
        <v>1508</v>
      </c>
      <c r="D482" s="287" t="s">
        <v>47</v>
      </c>
    </row>
    <row r="483" spans="1:4" ht="33.75" x14ac:dyDescent="0.25">
      <c r="A483" s="755"/>
      <c r="B483" s="288" t="s">
        <v>1241</v>
      </c>
      <c r="C483" s="289" t="s">
        <v>505</v>
      </c>
      <c r="D483" s="757" t="s">
        <v>2625</v>
      </c>
    </row>
    <row r="484" spans="1:4" x14ac:dyDescent="0.25">
      <c r="A484" s="755"/>
      <c r="B484" s="288" t="s">
        <v>1242</v>
      </c>
      <c r="C484" s="289" t="s">
        <v>1353</v>
      </c>
      <c r="D484" s="757"/>
    </row>
    <row r="485" spans="1:4" ht="15.75" thickBot="1" x14ac:dyDescent="0.3">
      <c r="A485" s="756"/>
      <c r="B485" s="290" t="s">
        <v>2539</v>
      </c>
      <c r="C485" s="291" t="s">
        <v>52</v>
      </c>
      <c r="D485" s="758"/>
    </row>
    <row r="486" spans="1:4" x14ac:dyDescent="0.25">
      <c r="A486" s="754">
        <v>122</v>
      </c>
      <c r="B486" s="285" t="s">
        <v>1239</v>
      </c>
      <c r="C486" s="286" t="s">
        <v>1489</v>
      </c>
      <c r="D486" s="287" t="s">
        <v>47</v>
      </c>
    </row>
    <row r="487" spans="1:4" ht="33.75" x14ac:dyDescent="0.25">
      <c r="A487" s="755"/>
      <c r="B487" s="288" t="s">
        <v>1241</v>
      </c>
      <c r="C487" s="289" t="s">
        <v>335</v>
      </c>
      <c r="D487" s="757" t="s">
        <v>2625</v>
      </c>
    </row>
    <row r="488" spans="1:4" x14ac:dyDescent="0.25">
      <c r="A488" s="755"/>
      <c r="B488" s="288" t="s">
        <v>1242</v>
      </c>
      <c r="C488" s="289" t="s">
        <v>1353</v>
      </c>
      <c r="D488" s="757"/>
    </row>
    <row r="489" spans="1:4" ht="15.75" thickBot="1" x14ac:dyDescent="0.3">
      <c r="A489" s="756"/>
      <c r="B489" s="290" t="s">
        <v>2539</v>
      </c>
      <c r="C489" s="291" t="s">
        <v>52</v>
      </c>
      <c r="D489" s="758"/>
    </row>
    <row r="490" spans="1:4" x14ac:dyDescent="0.25">
      <c r="A490" s="754">
        <v>123</v>
      </c>
      <c r="B490" s="285" t="s">
        <v>1239</v>
      </c>
      <c r="C490" s="286" t="s">
        <v>2626</v>
      </c>
      <c r="D490" s="287" t="s">
        <v>47</v>
      </c>
    </row>
    <row r="491" spans="1:4" x14ac:dyDescent="0.25">
      <c r="A491" s="755"/>
      <c r="B491" s="288" t="s">
        <v>1241</v>
      </c>
      <c r="C491" s="289" t="s">
        <v>656</v>
      </c>
      <c r="D491" s="757"/>
    </row>
    <row r="492" spans="1:4" x14ac:dyDescent="0.25">
      <c r="A492" s="755"/>
      <c r="B492" s="288" t="s">
        <v>1242</v>
      </c>
      <c r="C492" s="289" t="s">
        <v>1750</v>
      </c>
      <c r="D492" s="757"/>
    </row>
    <row r="493" spans="1:4" ht="15.75" thickBot="1" x14ac:dyDescent="0.3">
      <c r="A493" s="756"/>
      <c r="B493" s="290" t="s">
        <v>2539</v>
      </c>
      <c r="C493" s="291" t="s">
        <v>52</v>
      </c>
      <c r="D493" s="758"/>
    </row>
    <row r="494" spans="1:4" x14ac:dyDescent="0.25">
      <c r="A494" s="754">
        <v>124</v>
      </c>
      <c r="B494" s="292" t="s">
        <v>1239</v>
      </c>
      <c r="C494" s="293" t="s">
        <v>2626</v>
      </c>
      <c r="D494" s="294" t="s">
        <v>47</v>
      </c>
    </row>
    <row r="495" spans="1:4" x14ac:dyDescent="0.25">
      <c r="A495" s="755"/>
      <c r="B495" s="295" t="s">
        <v>1241</v>
      </c>
      <c r="C495" s="296" t="s">
        <v>2627</v>
      </c>
      <c r="D495" s="757" t="s">
        <v>2581</v>
      </c>
    </row>
    <row r="496" spans="1:4" x14ac:dyDescent="0.25">
      <c r="A496" s="755"/>
      <c r="B496" s="295" t="s">
        <v>1242</v>
      </c>
      <c r="C496" s="296" t="s">
        <v>1874</v>
      </c>
      <c r="D496" s="757"/>
    </row>
    <row r="497" spans="1:4" ht="15.75" thickBot="1" x14ac:dyDescent="0.3">
      <c r="A497" s="756"/>
      <c r="B497" s="297" t="s">
        <v>2539</v>
      </c>
      <c r="C497" s="298" t="s">
        <v>52</v>
      </c>
      <c r="D497" s="758"/>
    </row>
    <row r="498" spans="1:4" x14ac:dyDescent="0.25">
      <c r="A498" s="754">
        <v>125</v>
      </c>
      <c r="B498" s="285" t="s">
        <v>1239</v>
      </c>
      <c r="C498" s="286" t="s">
        <v>4746</v>
      </c>
      <c r="D498" s="287" t="s">
        <v>47</v>
      </c>
    </row>
    <row r="499" spans="1:4" ht="22.5" x14ac:dyDescent="0.25">
      <c r="A499" s="755"/>
      <c r="B499" s="288" t="s">
        <v>1241</v>
      </c>
      <c r="C499" s="289" t="s">
        <v>3676</v>
      </c>
      <c r="D499" s="759" t="s">
        <v>4747</v>
      </c>
    </row>
    <row r="500" spans="1:4" ht="22.5" customHeight="1" x14ac:dyDescent="0.25">
      <c r="A500" s="755"/>
      <c r="B500" s="288" t="s">
        <v>1242</v>
      </c>
      <c r="C500" s="289" t="s">
        <v>1936</v>
      </c>
      <c r="D500" s="759"/>
    </row>
    <row r="501" spans="1:4" ht="15.75" thickBot="1" x14ac:dyDescent="0.3">
      <c r="A501" s="756"/>
      <c r="B501" s="290" t="s">
        <v>2539</v>
      </c>
      <c r="C501" s="291" t="s">
        <v>75</v>
      </c>
      <c r="D501" s="760"/>
    </row>
    <row r="502" spans="1:4" x14ac:dyDescent="0.25">
      <c r="A502" s="754">
        <v>126</v>
      </c>
      <c r="B502" s="285" t="s">
        <v>1239</v>
      </c>
      <c r="C502" s="286" t="s">
        <v>4748</v>
      </c>
      <c r="D502" s="287" t="s">
        <v>47</v>
      </c>
    </row>
    <row r="503" spans="1:4" x14ac:dyDescent="0.25">
      <c r="A503" s="755"/>
      <c r="B503" s="288" t="s">
        <v>1241</v>
      </c>
      <c r="C503" s="289" t="s">
        <v>3678</v>
      </c>
      <c r="D503" s="759" t="s">
        <v>4749</v>
      </c>
    </row>
    <row r="504" spans="1:4" ht="22.5" customHeight="1" x14ac:dyDescent="0.25">
      <c r="A504" s="755"/>
      <c r="B504" s="288" t="s">
        <v>1242</v>
      </c>
      <c r="C504" s="289" t="s">
        <v>1936</v>
      </c>
      <c r="D504" s="759"/>
    </row>
    <row r="505" spans="1:4" ht="15.75" thickBot="1" x14ac:dyDescent="0.3">
      <c r="A505" s="756"/>
      <c r="B505" s="290" t="s">
        <v>2539</v>
      </c>
      <c r="C505" s="291" t="s">
        <v>52</v>
      </c>
      <c r="D505" s="760"/>
    </row>
    <row r="506" spans="1:4" x14ac:dyDescent="0.25">
      <c r="A506" s="754">
        <v>127</v>
      </c>
      <c r="B506" s="285" t="s">
        <v>1239</v>
      </c>
      <c r="C506" s="286" t="s">
        <v>4750</v>
      </c>
      <c r="D506" s="287" t="s">
        <v>47</v>
      </c>
    </row>
    <row r="507" spans="1:4" x14ac:dyDescent="0.25">
      <c r="A507" s="755"/>
      <c r="B507" s="288" t="s">
        <v>1241</v>
      </c>
      <c r="C507" s="289" t="s">
        <v>3684</v>
      </c>
      <c r="D507" s="759" t="s">
        <v>2628</v>
      </c>
    </row>
    <row r="508" spans="1:4" ht="22.5" customHeight="1" x14ac:dyDescent="0.25">
      <c r="A508" s="755"/>
      <c r="B508" s="288" t="s">
        <v>1242</v>
      </c>
      <c r="C508" s="289" t="s">
        <v>1936</v>
      </c>
      <c r="D508" s="759"/>
    </row>
    <row r="509" spans="1:4" ht="15.75" thickBot="1" x14ac:dyDescent="0.3">
      <c r="A509" s="756"/>
      <c r="B509" s="290" t="s">
        <v>2539</v>
      </c>
      <c r="C509" s="291" t="s">
        <v>52</v>
      </c>
      <c r="D509" s="760"/>
    </row>
    <row r="510" spans="1:4" x14ac:dyDescent="0.25">
      <c r="A510" s="754">
        <v>128</v>
      </c>
      <c r="B510" s="285" t="s">
        <v>1239</v>
      </c>
      <c r="C510" s="286" t="s">
        <v>2630</v>
      </c>
      <c r="D510" s="287" t="s">
        <v>47</v>
      </c>
    </row>
    <row r="511" spans="1:4" ht="22.5" x14ac:dyDescent="0.25">
      <c r="A511" s="755"/>
      <c r="B511" s="288" t="s">
        <v>1241</v>
      </c>
      <c r="C511" s="289" t="s">
        <v>717</v>
      </c>
      <c r="D511" s="759" t="s">
        <v>2631</v>
      </c>
    </row>
    <row r="512" spans="1:4" x14ac:dyDescent="0.25">
      <c r="A512" s="755"/>
      <c r="B512" s="288" t="s">
        <v>1242</v>
      </c>
      <c r="C512" s="289" t="s">
        <v>1550</v>
      </c>
      <c r="D512" s="759"/>
    </row>
    <row r="513" spans="1:4" ht="15.75" thickBot="1" x14ac:dyDescent="0.3">
      <c r="A513" s="756"/>
      <c r="B513" s="290" t="s">
        <v>2539</v>
      </c>
      <c r="C513" s="291" t="s">
        <v>52</v>
      </c>
      <c r="D513" s="760"/>
    </row>
    <row r="514" spans="1:4" x14ac:dyDescent="0.25">
      <c r="A514" s="754">
        <v>129</v>
      </c>
      <c r="B514" s="285" t="s">
        <v>1239</v>
      </c>
      <c r="C514" s="286" t="s">
        <v>2632</v>
      </c>
      <c r="D514" s="287" t="s">
        <v>47</v>
      </c>
    </row>
    <row r="515" spans="1:4" ht="45" x14ac:dyDescent="0.25">
      <c r="A515" s="755"/>
      <c r="B515" s="288" t="s">
        <v>1241</v>
      </c>
      <c r="C515" s="289" t="s">
        <v>393</v>
      </c>
      <c r="D515" s="759" t="s">
        <v>2566</v>
      </c>
    </row>
    <row r="516" spans="1:4" ht="22.5" customHeight="1" x14ac:dyDescent="0.25">
      <c r="A516" s="755"/>
      <c r="B516" s="288" t="s">
        <v>1242</v>
      </c>
      <c r="C516" s="289" t="s">
        <v>1936</v>
      </c>
      <c r="D516" s="759"/>
    </row>
    <row r="517" spans="1:4" ht="15.75" thickBot="1" x14ac:dyDescent="0.3">
      <c r="A517" s="756"/>
      <c r="B517" s="290" t="s">
        <v>2539</v>
      </c>
      <c r="C517" s="291" t="s">
        <v>52</v>
      </c>
      <c r="D517" s="760"/>
    </row>
    <row r="518" spans="1:4" x14ac:dyDescent="0.25">
      <c r="A518" s="754">
        <v>130</v>
      </c>
      <c r="B518" s="285" t="s">
        <v>1239</v>
      </c>
      <c r="C518" s="286" t="s">
        <v>2633</v>
      </c>
      <c r="D518" s="287" t="s">
        <v>47</v>
      </c>
    </row>
    <row r="519" spans="1:4" ht="22.5" x14ac:dyDescent="0.25">
      <c r="A519" s="755"/>
      <c r="B519" s="288" t="s">
        <v>1241</v>
      </c>
      <c r="C519" s="289" t="s">
        <v>723</v>
      </c>
      <c r="D519" s="759" t="s">
        <v>2634</v>
      </c>
    </row>
    <row r="520" spans="1:4" x14ac:dyDescent="0.25">
      <c r="A520" s="755"/>
      <c r="B520" s="288" t="s">
        <v>1242</v>
      </c>
      <c r="C520" s="289" t="s">
        <v>1550</v>
      </c>
      <c r="D520" s="759"/>
    </row>
    <row r="521" spans="1:4" ht="15.75" thickBot="1" x14ac:dyDescent="0.3">
      <c r="A521" s="756"/>
      <c r="B521" s="290" t="s">
        <v>2539</v>
      </c>
      <c r="C521" s="291" t="s">
        <v>52</v>
      </c>
      <c r="D521" s="760"/>
    </row>
    <row r="522" spans="1:4" x14ac:dyDescent="0.25">
      <c r="A522" s="754">
        <v>131</v>
      </c>
      <c r="B522" s="285" t="s">
        <v>1239</v>
      </c>
      <c r="C522" s="286" t="s">
        <v>4751</v>
      </c>
      <c r="D522" s="287" t="s">
        <v>47</v>
      </c>
    </row>
    <row r="523" spans="1:4" x14ac:dyDescent="0.25">
      <c r="A523" s="755"/>
      <c r="B523" s="288" t="s">
        <v>1241</v>
      </c>
      <c r="C523" s="289" t="s">
        <v>3605</v>
      </c>
      <c r="D523" s="759" t="s">
        <v>4752</v>
      </c>
    </row>
    <row r="524" spans="1:4" ht="22.5" customHeight="1" x14ac:dyDescent="0.25">
      <c r="A524" s="755"/>
      <c r="B524" s="288" t="s">
        <v>1242</v>
      </c>
      <c r="C524" s="289" t="s">
        <v>1936</v>
      </c>
      <c r="D524" s="759"/>
    </row>
    <row r="525" spans="1:4" ht="15.75" thickBot="1" x14ac:dyDescent="0.3">
      <c r="A525" s="756"/>
      <c r="B525" s="290" t="s">
        <v>2539</v>
      </c>
      <c r="C525" s="291" t="s">
        <v>75</v>
      </c>
      <c r="D525" s="760"/>
    </row>
    <row r="526" spans="1:4" x14ac:dyDescent="0.25">
      <c r="A526" s="754">
        <v>132</v>
      </c>
      <c r="B526" s="285" t="s">
        <v>1239</v>
      </c>
      <c r="C526" s="286" t="s">
        <v>4753</v>
      </c>
      <c r="D526" s="287" t="s">
        <v>47</v>
      </c>
    </row>
    <row r="527" spans="1:4" x14ac:dyDescent="0.25">
      <c r="A527" s="755"/>
      <c r="B527" s="288" t="s">
        <v>1241</v>
      </c>
      <c r="C527" s="289" t="s">
        <v>4754</v>
      </c>
      <c r="D527" s="759" t="s">
        <v>4755</v>
      </c>
    </row>
    <row r="528" spans="1:4" x14ac:dyDescent="0.25">
      <c r="A528" s="755"/>
      <c r="B528" s="288" t="s">
        <v>1242</v>
      </c>
      <c r="C528" s="289" t="s">
        <v>1358</v>
      </c>
      <c r="D528" s="759"/>
    </row>
    <row r="529" spans="1:4" ht="15.75" thickBot="1" x14ac:dyDescent="0.3">
      <c r="A529" s="756"/>
      <c r="B529" s="290" t="s">
        <v>2539</v>
      </c>
      <c r="C529" s="291" t="s">
        <v>52</v>
      </c>
      <c r="D529" s="760"/>
    </row>
    <row r="530" spans="1:4" x14ac:dyDescent="0.25">
      <c r="A530" s="754">
        <v>133</v>
      </c>
      <c r="B530" s="285" t="s">
        <v>1239</v>
      </c>
      <c r="C530" s="286" t="s">
        <v>4756</v>
      </c>
      <c r="D530" s="287" t="s">
        <v>47</v>
      </c>
    </row>
    <row r="531" spans="1:4" ht="22.5" x14ac:dyDescent="0.25">
      <c r="A531" s="755"/>
      <c r="B531" s="288" t="s">
        <v>1241</v>
      </c>
      <c r="C531" s="289" t="s">
        <v>2776</v>
      </c>
      <c r="D531" s="759" t="s">
        <v>4757</v>
      </c>
    </row>
    <row r="532" spans="1:4" x14ac:dyDescent="0.25">
      <c r="A532" s="755"/>
      <c r="B532" s="288" t="s">
        <v>1242</v>
      </c>
      <c r="C532" s="289" t="s">
        <v>1358</v>
      </c>
      <c r="D532" s="759"/>
    </row>
    <row r="533" spans="1:4" ht="15.75" thickBot="1" x14ac:dyDescent="0.3">
      <c r="A533" s="756"/>
      <c r="B533" s="290" t="s">
        <v>2539</v>
      </c>
      <c r="C533" s="291" t="s">
        <v>52</v>
      </c>
      <c r="D533" s="760"/>
    </row>
    <row r="534" spans="1:4" x14ac:dyDescent="0.25">
      <c r="A534" s="754">
        <v>134</v>
      </c>
      <c r="B534" s="285" t="s">
        <v>1239</v>
      </c>
      <c r="C534" s="286" t="s">
        <v>2635</v>
      </c>
      <c r="D534" s="287" t="s">
        <v>47</v>
      </c>
    </row>
    <row r="535" spans="1:4" ht="22.5" x14ac:dyDescent="0.25">
      <c r="A535" s="755"/>
      <c r="B535" s="288" t="s">
        <v>1241</v>
      </c>
      <c r="C535" s="289" t="s">
        <v>616</v>
      </c>
      <c r="D535" s="759" t="s">
        <v>2636</v>
      </c>
    </row>
    <row r="536" spans="1:4" ht="22.5" customHeight="1" x14ac:dyDescent="0.25">
      <c r="A536" s="755"/>
      <c r="B536" s="288" t="s">
        <v>1242</v>
      </c>
      <c r="C536" s="289" t="s">
        <v>1936</v>
      </c>
      <c r="D536" s="759"/>
    </row>
    <row r="537" spans="1:4" ht="15.75" thickBot="1" x14ac:dyDescent="0.3">
      <c r="A537" s="756"/>
      <c r="B537" s="290" t="s">
        <v>2539</v>
      </c>
      <c r="C537" s="291" t="s">
        <v>52</v>
      </c>
      <c r="D537" s="760"/>
    </row>
    <row r="538" spans="1:4" x14ac:dyDescent="0.25">
      <c r="A538" s="754">
        <v>135</v>
      </c>
      <c r="B538" s="285" t="s">
        <v>1239</v>
      </c>
      <c r="C538" s="286" t="s">
        <v>2637</v>
      </c>
      <c r="D538" s="287" t="s">
        <v>47</v>
      </c>
    </row>
    <row r="539" spans="1:4" ht="22.5" x14ac:dyDescent="0.25">
      <c r="A539" s="755"/>
      <c r="B539" s="288" t="s">
        <v>1241</v>
      </c>
      <c r="C539" s="289" t="s">
        <v>618</v>
      </c>
      <c r="D539" s="759" t="s">
        <v>2636</v>
      </c>
    </row>
    <row r="540" spans="1:4" ht="22.5" customHeight="1" x14ac:dyDescent="0.25">
      <c r="A540" s="755"/>
      <c r="B540" s="288" t="s">
        <v>1242</v>
      </c>
      <c r="C540" s="289" t="s">
        <v>1936</v>
      </c>
      <c r="D540" s="759"/>
    </row>
    <row r="541" spans="1:4" ht="15.75" thickBot="1" x14ac:dyDescent="0.3">
      <c r="A541" s="756"/>
      <c r="B541" s="290" t="s">
        <v>2539</v>
      </c>
      <c r="C541" s="291" t="s">
        <v>52</v>
      </c>
      <c r="D541" s="760"/>
    </row>
    <row r="542" spans="1:4" x14ac:dyDescent="0.25">
      <c r="A542" s="754">
        <v>136</v>
      </c>
      <c r="B542" s="285" t="s">
        <v>1239</v>
      </c>
      <c r="C542" s="286" t="s">
        <v>2638</v>
      </c>
      <c r="D542" s="287" t="s">
        <v>47</v>
      </c>
    </row>
    <row r="543" spans="1:4" ht="22.5" x14ac:dyDescent="0.25">
      <c r="A543" s="755"/>
      <c r="B543" s="288" t="s">
        <v>1241</v>
      </c>
      <c r="C543" s="289" t="s">
        <v>623</v>
      </c>
      <c r="D543" s="759" t="s">
        <v>2571</v>
      </c>
    </row>
    <row r="544" spans="1:4" ht="22.5" customHeight="1" x14ac:dyDescent="0.25">
      <c r="A544" s="755"/>
      <c r="B544" s="288" t="s">
        <v>1242</v>
      </c>
      <c r="C544" s="289" t="s">
        <v>1936</v>
      </c>
      <c r="D544" s="759"/>
    </row>
    <row r="545" spans="1:4" ht="15.75" thickBot="1" x14ac:dyDescent="0.3">
      <c r="A545" s="756"/>
      <c r="B545" s="290" t="s">
        <v>2539</v>
      </c>
      <c r="C545" s="291" t="s">
        <v>52</v>
      </c>
      <c r="D545" s="760"/>
    </row>
    <row r="546" spans="1:4" x14ac:dyDescent="0.25">
      <c r="A546" s="754">
        <v>137</v>
      </c>
      <c r="B546" s="285" t="s">
        <v>1239</v>
      </c>
      <c r="C546" s="286" t="s">
        <v>4758</v>
      </c>
      <c r="D546" s="287" t="s">
        <v>47</v>
      </c>
    </row>
    <row r="547" spans="1:4" x14ac:dyDescent="0.25">
      <c r="A547" s="755"/>
      <c r="B547" s="288" t="s">
        <v>1241</v>
      </c>
      <c r="C547" s="289" t="s">
        <v>3631</v>
      </c>
      <c r="D547" s="759" t="s">
        <v>2548</v>
      </c>
    </row>
    <row r="548" spans="1:4" ht="22.5" customHeight="1" x14ac:dyDescent="0.25">
      <c r="A548" s="755"/>
      <c r="B548" s="288" t="s">
        <v>1242</v>
      </c>
      <c r="C548" s="289" t="s">
        <v>1936</v>
      </c>
      <c r="D548" s="759"/>
    </row>
    <row r="549" spans="1:4" ht="15.75" thickBot="1" x14ac:dyDescent="0.3">
      <c r="A549" s="756"/>
      <c r="B549" s="290" t="s">
        <v>2539</v>
      </c>
      <c r="C549" s="291" t="s">
        <v>52</v>
      </c>
      <c r="D549" s="760"/>
    </row>
    <row r="550" spans="1:4" x14ac:dyDescent="0.25">
      <c r="A550" s="754">
        <v>138</v>
      </c>
      <c r="B550" s="292" t="s">
        <v>1239</v>
      </c>
      <c r="C550" s="293" t="s">
        <v>2639</v>
      </c>
      <c r="D550" s="294" t="s">
        <v>47</v>
      </c>
    </row>
    <row r="551" spans="1:4" ht="33.75" x14ac:dyDescent="0.25">
      <c r="A551" s="755"/>
      <c r="B551" s="295" t="s">
        <v>1241</v>
      </c>
      <c r="C551" s="296" t="s">
        <v>729</v>
      </c>
      <c r="D551" s="757" t="s">
        <v>2612</v>
      </c>
    </row>
    <row r="552" spans="1:4" ht="22.5" customHeight="1" x14ac:dyDescent="0.25">
      <c r="A552" s="755"/>
      <c r="B552" s="295" t="s">
        <v>1242</v>
      </c>
      <c r="C552" s="296" t="s">
        <v>1936</v>
      </c>
      <c r="D552" s="757"/>
    </row>
    <row r="553" spans="1:4" ht="15.75" thickBot="1" x14ac:dyDescent="0.3">
      <c r="A553" s="756"/>
      <c r="B553" s="297" t="s">
        <v>2539</v>
      </c>
      <c r="C553" s="298" t="s">
        <v>75</v>
      </c>
      <c r="D553" s="758"/>
    </row>
    <row r="554" spans="1:4" x14ac:dyDescent="0.25">
      <c r="A554" s="754">
        <v>139</v>
      </c>
      <c r="B554" s="285" t="s">
        <v>1239</v>
      </c>
      <c r="C554" s="286" t="s">
        <v>2640</v>
      </c>
      <c r="D554" s="287" t="s">
        <v>47</v>
      </c>
    </row>
    <row r="555" spans="1:4" ht="22.5" x14ac:dyDescent="0.25">
      <c r="A555" s="755"/>
      <c r="B555" s="288" t="s">
        <v>1241</v>
      </c>
      <c r="C555" s="289" t="s">
        <v>2641</v>
      </c>
      <c r="D555" s="759" t="s">
        <v>2642</v>
      </c>
    </row>
    <row r="556" spans="1:4" ht="22.5" customHeight="1" x14ac:dyDescent="0.25">
      <c r="A556" s="755"/>
      <c r="B556" s="288" t="s">
        <v>1242</v>
      </c>
      <c r="C556" s="289" t="s">
        <v>1936</v>
      </c>
      <c r="D556" s="759"/>
    </row>
    <row r="557" spans="1:4" ht="15.75" thickBot="1" x14ac:dyDescent="0.3">
      <c r="A557" s="756"/>
      <c r="B557" s="290" t="s">
        <v>2539</v>
      </c>
      <c r="C557" s="291" t="s">
        <v>52</v>
      </c>
      <c r="D557" s="760"/>
    </row>
    <row r="558" spans="1:4" x14ac:dyDescent="0.25">
      <c r="A558" s="754">
        <v>140</v>
      </c>
      <c r="B558" s="285" t="s">
        <v>1239</v>
      </c>
      <c r="C558" s="286" t="s">
        <v>4759</v>
      </c>
      <c r="D558" s="287" t="s">
        <v>47</v>
      </c>
    </row>
    <row r="559" spans="1:4" x14ac:dyDescent="0.25">
      <c r="A559" s="755"/>
      <c r="B559" s="288" t="s">
        <v>1241</v>
      </c>
      <c r="C559" s="289" t="s">
        <v>3784</v>
      </c>
      <c r="D559" s="759" t="s">
        <v>4760</v>
      </c>
    </row>
    <row r="560" spans="1:4" x14ac:dyDescent="0.25">
      <c r="A560" s="755"/>
      <c r="B560" s="288" t="s">
        <v>1242</v>
      </c>
      <c r="C560" s="289" t="s">
        <v>1750</v>
      </c>
      <c r="D560" s="759"/>
    </row>
    <row r="561" spans="1:4" ht="15.75" thickBot="1" x14ac:dyDescent="0.3">
      <c r="A561" s="756"/>
      <c r="B561" s="290" t="s">
        <v>2539</v>
      </c>
      <c r="C561" s="291" t="s">
        <v>52</v>
      </c>
      <c r="D561" s="760"/>
    </row>
    <row r="562" spans="1:4" x14ac:dyDescent="0.25">
      <c r="A562" s="754">
        <v>141</v>
      </c>
      <c r="B562" s="285" t="s">
        <v>1239</v>
      </c>
      <c r="C562" s="286" t="s">
        <v>4761</v>
      </c>
      <c r="D562" s="287" t="s">
        <v>47</v>
      </c>
    </row>
    <row r="563" spans="1:4" x14ac:dyDescent="0.25">
      <c r="A563" s="755"/>
      <c r="B563" s="288" t="s">
        <v>1241</v>
      </c>
      <c r="C563" s="289" t="s">
        <v>3290</v>
      </c>
      <c r="D563" s="759" t="s">
        <v>4762</v>
      </c>
    </row>
    <row r="564" spans="1:4" x14ac:dyDescent="0.25">
      <c r="A564" s="755"/>
      <c r="B564" s="288" t="s">
        <v>1242</v>
      </c>
      <c r="C564" s="289" t="s">
        <v>1750</v>
      </c>
      <c r="D564" s="759"/>
    </row>
    <row r="565" spans="1:4" ht="15.75" thickBot="1" x14ac:dyDescent="0.3">
      <c r="A565" s="756"/>
      <c r="B565" s="290" t="s">
        <v>2539</v>
      </c>
      <c r="C565" s="291" t="s">
        <v>52</v>
      </c>
      <c r="D565" s="760"/>
    </row>
    <row r="566" spans="1:4" x14ac:dyDescent="0.25">
      <c r="A566" s="754">
        <v>142</v>
      </c>
      <c r="B566" s="285" t="s">
        <v>1239</v>
      </c>
      <c r="C566" s="286" t="s">
        <v>4763</v>
      </c>
      <c r="D566" s="287" t="s">
        <v>47</v>
      </c>
    </row>
    <row r="567" spans="1:4" x14ac:dyDescent="0.25">
      <c r="A567" s="755"/>
      <c r="B567" s="288" t="s">
        <v>1241</v>
      </c>
      <c r="C567" s="289" t="s">
        <v>3496</v>
      </c>
      <c r="D567" s="759" t="s">
        <v>4764</v>
      </c>
    </row>
    <row r="568" spans="1:4" x14ac:dyDescent="0.25">
      <c r="A568" s="755"/>
      <c r="B568" s="288" t="s">
        <v>1242</v>
      </c>
      <c r="C568" s="289" t="s">
        <v>1750</v>
      </c>
      <c r="D568" s="759"/>
    </row>
    <row r="569" spans="1:4" ht="15.75" thickBot="1" x14ac:dyDescent="0.3">
      <c r="A569" s="756"/>
      <c r="B569" s="290" t="s">
        <v>2539</v>
      </c>
      <c r="C569" s="291" t="s">
        <v>52</v>
      </c>
      <c r="D569" s="760"/>
    </row>
    <row r="570" spans="1:4" x14ac:dyDescent="0.25">
      <c r="A570" s="754">
        <v>143</v>
      </c>
      <c r="B570" s="285" t="s">
        <v>1239</v>
      </c>
      <c r="C570" s="286" t="s">
        <v>4765</v>
      </c>
      <c r="D570" s="287" t="s">
        <v>47</v>
      </c>
    </row>
    <row r="571" spans="1:4" ht="45" x14ac:dyDescent="0.25">
      <c r="A571" s="755"/>
      <c r="B571" s="288" t="s">
        <v>1241</v>
      </c>
      <c r="C571" s="289" t="s">
        <v>3225</v>
      </c>
      <c r="D571" s="759" t="s">
        <v>4766</v>
      </c>
    </row>
    <row r="572" spans="1:4" x14ac:dyDescent="0.25">
      <c r="A572" s="755"/>
      <c r="B572" s="288" t="s">
        <v>1242</v>
      </c>
      <c r="C572" s="289" t="s">
        <v>1364</v>
      </c>
      <c r="D572" s="759"/>
    </row>
    <row r="573" spans="1:4" ht="15.75" thickBot="1" x14ac:dyDescent="0.3">
      <c r="A573" s="756"/>
      <c r="B573" s="290" t="s">
        <v>2539</v>
      </c>
      <c r="C573" s="291" t="s">
        <v>71</v>
      </c>
      <c r="D573" s="760"/>
    </row>
    <row r="574" spans="1:4" x14ac:dyDescent="0.25">
      <c r="A574" s="754">
        <v>144</v>
      </c>
      <c r="B574" s="285" t="s">
        <v>1239</v>
      </c>
      <c r="C574" s="286" t="s">
        <v>2643</v>
      </c>
      <c r="D574" s="287" t="s">
        <v>47</v>
      </c>
    </row>
    <row r="575" spans="1:4" x14ac:dyDescent="0.25">
      <c r="A575" s="755"/>
      <c r="B575" s="288" t="s">
        <v>1241</v>
      </c>
      <c r="C575" s="289" t="s">
        <v>912</v>
      </c>
      <c r="D575" s="759" t="s">
        <v>2644</v>
      </c>
    </row>
    <row r="576" spans="1:4" ht="22.5" customHeight="1" x14ac:dyDescent="0.25">
      <c r="A576" s="755"/>
      <c r="B576" s="288" t="s">
        <v>1242</v>
      </c>
      <c r="C576" s="289" t="s">
        <v>1936</v>
      </c>
      <c r="D576" s="759"/>
    </row>
    <row r="577" spans="1:4" ht="15.75" thickBot="1" x14ac:dyDescent="0.3">
      <c r="A577" s="756"/>
      <c r="B577" s="290" t="s">
        <v>2539</v>
      </c>
      <c r="C577" s="291" t="s">
        <v>75</v>
      </c>
      <c r="D577" s="760"/>
    </row>
    <row r="578" spans="1:4" x14ac:dyDescent="0.25">
      <c r="A578" s="754">
        <v>145</v>
      </c>
      <c r="B578" s="285" t="s">
        <v>1239</v>
      </c>
      <c r="C578" s="286" t="s">
        <v>2645</v>
      </c>
      <c r="D578" s="287" t="s">
        <v>47</v>
      </c>
    </row>
    <row r="579" spans="1:4" x14ac:dyDescent="0.25">
      <c r="A579" s="755"/>
      <c r="B579" s="288" t="s">
        <v>1241</v>
      </c>
      <c r="C579" s="289" t="s">
        <v>702</v>
      </c>
      <c r="D579" s="759" t="s">
        <v>2646</v>
      </c>
    </row>
    <row r="580" spans="1:4" ht="22.5" customHeight="1" x14ac:dyDescent="0.25">
      <c r="A580" s="755"/>
      <c r="B580" s="288" t="s">
        <v>1242</v>
      </c>
      <c r="C580" s="289" t="s">
        <v>1936</v>
      </c>
      <c r="D580" s="759"/>
    </row>
    <row r="581" spans="1:4" ht="15.75" thickBot="1" x14ac:dyDescent="0.3">
      <c r="A581" s="756"/>
      <c r="B581" s="290" t="s">
        <v>2539</v>
      </c>
      <c r="C581" s="291" t="s">
        <v>52</v>
      </c>
      <c r="D581" s="760"/>
    </row>
    <row r="582" spans="1:4" x14ac:dyDescent="0.25">
      <c r="A582" s="754">
        <v>146</v>
      </c>
      <c r="B582" s="285" t="s">
        <v>1239</v>
      </c>
      <c r="C582" s="286" t="s">
        <v>2647</v>
      </c>
      <c r="D582" s="287" t="s">
        <v>47</v>
      </c>
    </row>
    <row r="583" spans="1:4" x14ac:dyDescent="0.25">
      <c r="A583" s="755"/>
      <c r="B583" s="288" t="s">
        <v>1241</v>
      </c>
      <c r="C583" s="289" t="s">
        <v>914</v>
      </c>
      <c r="D583" s="759" t="s">
        <v>2648</v>
      </c>
    </row>
    <row r="584" spans="1:4" ht="22.5" customHeight="1" x14ac:dyDescent="0.25">
      <c r="A584" s="755"/>
      <c r="B584" s="288" t="s">
        <v>1242</v>
      </c>
      <c r="C584" s="289" t="s">
        <v>1936</v>
      </c>
      <c r="D584" s="759"/>
    </row>
    <row r="585" spans="1:4" ht="15.75" thickBot="1" x14ac:dyDescent="0.3">
      <c r="A585" s="756"/>
      <c r="B585" s="290" t="s">
        <v>2539</v>
      </c>
      <c r="C585" s="291" t="s">
        <v>52</v>
      </c>
      <c r="D585" s="760"/>
    </row>
    <row r="586" spans="1:4" x14ac:dyDescent="0.25">
      <c r="A586" s="754">
        <v>147</v>
      </c>
      <c r="B586" s="285" t="s">
        <v>1239</v>
      </c>
      <c r="C586" s="286" t="s">
        <v>2649</v>
      </c>
      <c r="D586" s="287" t="s">
        <v>47</v>
      </c>
    </row>
    <row r="587" spans="1:4" x14ac:dyDescent="0.25">
      <c r="A587" s="755"/>
      <c r="B587" s="288" t="s">
        <v>1241</v>
      </c>
      <c r="C587" s="289" t="s">
        <v>707</v>
      </c>
      <c r="D587" s="759" t="s">
        <v>2628</v>
      </c>
    </row>
    <row r="588" spans="1:4" ht="22.5" customHeight="1" x14ac:dyDescent="0.25">
      <c r="A588" s="755"/>
      <c r="B588" s="288" t="s">
        <v>1242</v>
      </c>
      <c r="C588" s="289" t="s">
        <v>1936</v>
      </c>
      <c r="D588" s="759"/>
    </row>
    <row r="589" spans="1:4" ht="15.75" thickBot="1" x14ac:dyDescent="0.3">
      <c r="A589" s="756"/>
      <c r="B589" s="290" t="s">
        <v>2539</v>
      </c>
      <c r="C589" s="291" t="s">
        <v>52</v>
      </c>
      <c r="D589" s="760"/>
    </row>
    <row r="590" spans="1:4" x14ac:dyDescent="0.25">
      <c r="A590" s="754">
        <v>148</v>
      </c>
      <c r="B590" s="285" t="s">
        <v>1239</v>
      </c>
      <c r="C590" s="286" t="s">
        <v>2650</v>
      </c>
      <c r="D590" s="287" t="s">
        <v>47</v>
      </c>
    </row>
    <row r="591" spans="1:4" ht="22.5" x14ac:dyDescent="0.25">
      <c r="A591" s="755"/>
      <c r="B591" s="288" t="s">
        <v>1241</v>
      </c>
      <c r="C591" s="289" t="s">
        <v>715</v>
      </c>
      <c r="D591" s="759" t="s">
        <v>2629</v>
      </c>
    </row>
    <row r="592" spans="1:4" x14ac:dyDescent="0.25">
      <c r="A592" s="755"/>
      <c r="B592" s="288" t="s">
        <v>1242</v>
      </c>
      <c r="C592" s="289" t="s">
        <v>1550</v>
      </c>
      <c r="D592" s="759"/>
    </row>
    <row r="593" spans="1:4" ht="15.75" thickBot="1" x14ac:dyDescent="0.3">
      <c r="A593" s="756"/>
      <c r="B593" s="290" t="s">
        <v>2539</v>
      </c>
      <c r="C593" s="291" t="s">
        <v>52</v>
      </c>
      <c r="D593" s="760"/>
    </row>
    <row r="594" spans="1:4" x14ac:dyDescent="0.25">
      <c r="A594" s="754">
        <v>149</v>
      </c>
      <c r="B594" s="285" t="s">
        <v>1239</v>
      </c>
      <c r="C594" s="286" t="s">
        <v>4767</v>
      </c>
      <c r="D594" s="287" t="s">
        <v>47</v>
      </c>
    </row>
    <row r="595" spans="1:4" ht="22.5" x14ac:dyDescent="0.25">
      <c r="A595" s="755"/>
      <c r="B595" s="288" t="s">
        <v>1241</v>
      </c>
      <c r="C595" s="289" t="s">
        <v>2791</v>
      </c>
      <c r="D595" s="759" t="s">
        <v>4768</v>
      </c>
    </row>
    <row r="596" spans="1:4" x14ac:dyDescent="0.25">
      <c r="A596" s="755"/>
      <c r="B596" s="288" t="s">
        <v>1242</v>
      </c>
      <c r="C596" s="289" t="s">
        <v>1353</v>
      </c>
      <c r="D596" s="759"/>
    </row>
    <row r="597" spans="1:4" ht="15.75" thickBot="1" x14ac:dyDescent="0.3">
      <c r="A597" s="756"/>
      <c r="B597" s="290" t="s">
        <v>2539</v>
      </c>
      <c r="C597" s="291" t="s">
        <v>52</v>
      </c>
      <c r="D597" s="760"/>
    </row>
    <row r="598" spans="1:4" x14ac:dyDescent="0.25">
      <c r="A598" s="754">
        <v>150</v>
      </c>
      <c r="B598" s="285" t="s">
        <v>1239</v>
      </c>
      <c r="C598" s="286" t="s">
        <v>4769</v>
      </c>
      <c r="D598" s="287" t="s">
        <v>47</v>
      </c>
    </row>
    <row r="599" spans="1:4" ht="22.5" x14ac:dyDescent="0.25">
      <c r="A599" s="755"/>
      <c r="B599" s="288" t="s">
        <v>1241</v>
      </c>
      <c r="C599" s="289" t="s">
        <v>2795</v>
      </c>
      <c r="D599" s="759" t="s">
        <v>4770</v>
      </c>
    </row>
    <row r="600" spans="1:4" x14ac:dyDescent="0.25">
      <c r="A600" s="755"/>
      <c r="B600" s="288" t="s">
        <v>1242</v>
      </c>
      <c r="C600" s="289" t="s">
        <v>1358</v>
      </c>
      <c r="D600" s="759"/>
    </row>
    <row r="601" spans="1:4" ht="15.75" thickBot="1" x14ac:dyDescent="0.3">
      <c r="A601" s="756"/>
      <c r="B601" s="290" t="s">
        <v>2539</v>
      </c>
      <c r="C601" s="291" t="s">
        <v>52</v>
      </c>
      <c r="D601" s="760"/>
    </row>
    <row r="602" spans="1:4" x14ac:dyDescent="0.25">
      <c r="A602" s="754">
        <v>151</v>
      </c>
      <c r="B602" s="285" t="s">
        <v>1239</v>
      </c>
      <c r="C602" s="286" t="s">
        <v>4771</v>
      </c>
      <c r="D602" s="287" t="s">
        <v>47</v>
      </c>
    </row>
    <row r="603" spans="1:4" ht="78.75" x14ac:dyDescent="0.25">
      <c r="A603" s="755"/>
      <c r="B603" s="288" t="s">
        <v>1241</v>
      </c>
      <c r="C603" s="289" t="s">
        <v>3419</v>
      </c>
      <c r="D603" s="759" t="s">
        <v>2548</v>
      </c>
    </row>
    <row r="604" spans="1:4" x14ac:dyDescent="0.25">
      <c r="A604" s="755"/>
      <c r="B604" s="288" t="s">
        <v>1242</v>
      </c>
      <c r="C604" s="289" t="s">
        <v>1750</v>
      </c>
      <c r="D604" s="759"/>
    </row>
    <row r="605" spans="1:4" ht="15.75" thickBot="1" x14ac:dyDescent="0.3">
      <c r="A605" s="756"/>
      <c r="B605" s="290" t="s">
        <v>2539</v>
      </c>
      <c r="C605" s="291" t="s">
        <v>52</v>
      </c>
      <c r="D605" s="760"/>
    </row>
    <row r="606" spans="1:4" x14ac:dyDescent="0.25">
      <c r="A606" s="754">
        <v>152</v>
      </c>
      <c r="B606" s="285" t="s">
        <v>1239</v>
      </c>
      <c r="C606" s="286" t="s">
        <v>4772</v>
      </c>
      <c r="D606" s="287" t="s">
        <v>47</v>
      </c>
    </row>
    <row r="607" spans="1:4" ht="78.75" x14ac:dyDescent="0.25">
      <c r="A607" s="755"/>
      <c r="B607" s="288" t="s">
        <v>1241</v>
      </c>
      <c r="C607" s="289" t="s">
        <v>3417</v>
      </c>
      <c r="D607" s="759" t="s">
        <v>2548</v>
      </c>
    </row>
    <row r="608" spans="1:4" x14ac:dyDescent="0.25">
      <c r="A608" s="755"/>
      <c r="B608" s="288" t="s">
        <v>1242</v>
      </c>
      <c r="C608" s="289" t="s">
        <v>1750</v>
      </c>
      <c r="D608" s="759"/>
    </row>
    <row r="609" spans="1:4" ht="15.75" thickBot="1" x14ac:dyDescent="0.3">
      <c r="A609" s="756"/>
      <c r="B609" s="290" t="s">
        <v>2539</v>
      </c>
      <c r="C609" s="291" t="s">
        <v>52</v>
      </c>
      <c r="D609" s="760"/>
    </row>
    <row r="610" spans="1:4" x14ac:dyDescent="0.25">
      <c r="A610" s="754">
        <v>153</v>
      </c>
      <c r="B610" s="285" t="s">
        <v>1239</v>
      </c>
      <c r="C610" s="286" t="s">
        <v>2651</v>
      </c>
      <c r="D610" s="287" t="s">
        <v>47</v>
      </c>
    </row>
    <row r="611" spans="1:4" ht="33.75" x14ac:dyDescent="0.25">
      <c r="A611" s="755"/>
      <c r="B611" s="288" t="s">
        <v>1241</v>
      </c>
      <c r="C611" s="289" t="s">
        <v>727</v>
      </c>
      <c r="D611" s="759" t="s">
        <v>2652</v>
      </c>
    </row>
    <row r="612" spans="1:4" x14ac:dyDescent="0.25">
      <c r="A612" s="755"/>
      <c r="B612" s="288" t="s">
        <v>1242</v>
      </c>
      <c r="C612" s="289" t="s">
        <v>2653</v>
      </c>
      <c r="D612" s="759"/>
    </row>
    <row r="613" spans="1:4" ht="15.75" thickBot="1" x14ac:dyDescent="0.3">
      <c r="A613" s="756"/>
      <c r="B613" s="290" t="s">
        <v>2539</v>
      </c>
      <c r="C613" s="291" t="s">
        <v>63</v>
      </c>
      <c r="D613" s="760"/>
    </row>
    <row r="614" spans="1:4" x14ac:dyDescent="0.25">
      <c r="A614" s="754">
        <v>154</v>
      </c>
      <c r="B614" s="285" t="s">
        <v>1239</v>
      </c>
      <c r="C614" s="286" t="s">
        <v>2654</v>
      </c>
      <c r="D614" s="287" t="s">
        <v>47</v>
      </c>
    </row>
    <row r="615" spans="1:4" ht="22.5" x14ac:dyDescent="0.25">
      <c r="A615" s="755"/>
      <c r="B615" s="288" t="s">
        <v>1241</v>
      </c>
      <c r="C615" s="289" t="s">
        <v>713</v>
      </c>
      <c r="D615" s="759" t="s">
        <v>2623</v>
      </c>
    </row>
    <row r="616" spans="1:4" x14ac:dyDescent="0.25">
      <c r="A616" s="755"/>
      <c r="B616" s="288" t="s">
        <v>1242</v>
      </c>
      <c r="C616" s="289" t="s">
        <v>2653</v>
      </c>
      <c r="D616" s="759"/>
    </row>
    <row r="617" spans="1:4" ht="15.75" thickBot="1" x14ac:dyDescent="0.3">
      <c r="A617" s="756"/>
      <c r="B617" s="290" t="s">
        <v>2539</v>
      </c>
      <c r="C617" s="291" t="s">
        <v>63</v>
      </c>
      <c r="D617" s="760"/>
    </row>
    <row r="618" spans="1:4" x14ac:dyDescent="0.25">
      <c r="A618" s="754">
        <v>155</v>
      </c>
      <c r="B618" s="285" t="s">
        <v>1239</v>
      </c>
      <c r="C618" s="286" t="s">
        <v>2655</v>
      </c>
      <c r="D618" s="287" t="s">
        <v>47</v>
      </c>
    </row>
    <row r="619" spans="1:4" ht="22.5" x14ac:dyDescent="0.25">
      <c r="A619" s="755"/>
      <c r="B619" s="288" t="s">
        <v>1241</v>
      </c>
      <c r="C619" s="289" t="s">
        <v>721</v>
      </c>
      <c r="D619" s="759" t="s">
        <v>2656</v>
      </c>
    </row>
    <row r="620" spans="1:4" x14ac:dyDescent="0.25">
      <c r="A620" s="755"/>
      <c r="B620" s="288" t="s">
        <v>1242</v>
      </c>
      <c r="C620" s="289" t="s">
        <v>2653</v>
      </c>
      <c r="D620" s="759"/>
    </row>
    <row r="621" spans="1:4" ht="15.75" thickBot="1" x14ac:dyDescent="0.3">
      <c r="A621" s="756"/>
      <c r="B621" s="290" t="s">
        <v>2539</v>
      </c>
      <c r="C621" s="291" t="s">
        <v>63</v>
      </c>
      <c r="D621" s="760"/>
    </row>
    <row r="622" spans="1:4" x14ac:dyDescent="0.25">
      <c r="A622" s="754">
        <v>156</v>
      </c>
      <c r="B622" s="285" t="s">
        <v>1239</v>
      </c>
      <c r="C622" s="286" t="s">
        <v>2657</v>
      </c>
      <c r="D622" s="287" t="s">
        <v>47</v>
      </c>
    </row>
    <row r="623" spans="1:4" x14ac:dyDescent="0.25">
      <c r="A623" s="755"/>
      <c r="B623" s="288" t="s">
        <v>1241</v>
      </c>
      <c r="C623" s="289" t="s">
        <v>719</v>
      </c>
      <c r="D623" s="759" t="s">
        <v>2658</v>
      </c>
    </row>
    <row r="624" spans="1:4" x14ac:dyDescent="0.25">
      <c r="A624" s="755"/>
      <c r="B624" s="288" t="s">
        <v>1242</v>
      </c>
      <c r="C624" s="289" t="s">
        <v>2653</v>
      </c>
      <c r="D624" s="759"/>
    </row>
    <row r="625" spans="1:4" ht="15.75" thickBot="1" x14ac:dyDescent="0.3">
      <c r="A625" s="756"/>
      <c r="B625" s="290" t="s">
        <v>2539</v>
      </c>
      <c r="C625" s="291" t="s">
        <v>63</v>
      </c>
      <c r="D625" s="760"/>
    </row>
    <row r="626" spans="1:4" x14ac:dyDescent="0.25">
      <c r="A626" s="754">
        <v>157</v>
      </c>
      <c r="B626" s="285" t="s">
        <v>1239</v>
      </c>
      <c r="C626" s="286" t="s">
        <v>2659</v>
      </c>
      <c r="D626" s="287" t="s">
        <v>47</v>
      </c>
    </row>
    <row r="627" spans="1:4" ht="22.5" x14ac:dyDescent="0.25">
      <c r="A627" s="755"/>
      <c r="B627" s="288" t="s">
        <v>1241</v>
      </c>
      <c r="C627" s="289" t="s">
        <v>689</v>
      </c>
      <c r="D627" s="759" t="s">
        <v>2660</v>
      </c>
    </row>
    <row r="628" spans="1:4" x14ac:dyDescent="0.25">
      <c r="A628" s="755"/>
      <c r="B628" s="288" t="s">
        <v>1242</v>
      </c>
      <c r="C628" s="289" t="s">
        <v>1750</v>
      </c>
      <c r="D628" s="759"/>
    </row>
    <row r="629" spans="1:4" ht="15.75" thickBot="1" x14ac:dyDescent="0.3">
      <c r="A629" s="756"/>
      <c r="B629" s="290" t="s">
        <v>2539</v>
      </c>
      <c r="C629" s="291" t="s">
        <v>52</v>
      </c>
      <c r="D629" s="760"/>
    </row>
    <row r="630" spans="1:4" x14ac:dyDescent="0.25">
      <c r="A630" s="754">
        <v>158</v>
      </c>
      <c r="B630" s="285" t="s">
        <v>1239</v>
      </c>
      <c r="C630" s="286" t="s">
        <v>4773</v>
      </c>
      <c r="D630" s="287" t="s">
        <v>47</v>
      </c>
    </row>
    <row r="631" spans="1:4" ht="33.75" x14ac:dyDescent="0.25">
      <c r="A631" s="755"/>
      <c r="B631" s="288" t="s">
        <v>1241</v>
      </c>
      <c r="C631" s="289" t="s">
        <v>2793</v>
      </c>
      <c r="D631" s="759" t="s">
        <v>4774</v>
      </c>
    </row>
    <row r="632" spans="1:4" x14ac:dyDescent="0.25">
      <c r="A632" s="755"/>
      <c r="B632" s="288" t="s">
        <v>1242</v>
      </c>
      <c r="C632" s="289" t="s">
        <v>1351</v>
      </c>
      <c r="D632" s="759"/>
    </row>
    <row r="633" spans="1:4" ht="15.75" thickBot="1" x14ac:dyDescent="0.3">
      <c r="A633" s="756"/>
      <c r="B633" s="290" t="s">
        <v>2539</v>
      </c>
      <c r="C633" s="291" t="s">
        <v>75</v>
      </c>
      <c r="D633" s="760"/>
    </row>
    <row r="634" spans="1:4" x14ac:dyDescent="0.25">
      <c r="A634" s="754">
        <v>159</v>
      </c>
      <c r="B634" s="285" t="s">
        <v>1239</v>
      </c>
      <c r="C634" s="299" t="s">
        <v>2662</v>
      </c>
      <c r="D634" s="287" t="s">
        <v>47</v>
      </c>
    </row>
    <row r="635" spans="1:4" x14ac:dyDescent="0.25">
      <c r="A635" s="755"/>
      <c r="B635" s="288" t="s">
        <v>1241</v>
      </c>
      <c r="C635" s="289" t="s">
        <v>556</v>
      </c>
      <c r="D635" s="759" t="s">
        <v>2661</v>
      </c>
    </row>
    <row r="636" spans="1:4" x14ac:dyDescent="0.25">
      <c r="A636" s="755"/>
      <c r="B636" s="288" t="s">
        <v>1242</v>
      </c>
      <c r="C636" s="289" t="s">
        <v>1385</v>
      </c>
      <c r="D636" s="759"/>
    </row>
    <row r="637" spans="1:4" ht="15.75" thickBot="1" x14ac:dyDescent="0.3">
      <c r="A637" s="756"/>
      <c r="B637" s="290" t="s">
        <v>2539</v>
      </c>
      <c r="C637" s="291" t="s">
        <v>10</v>
      </c>
      <c r="D637" s="760"/>
    </row>
    <row r="638" spans="1:4" x14ac:dyDescent="0.25">
      <c r="A638" s="754">
        <v>160</v>
      </c>
      <c r="B638" s="285" t="s">
        <v>1239</v>
      </c>
      <c r="C638" s="299" t="s">
        <v>2663</v>
      </c>
      <c r="D638" s="287" t="s">
        <v>47</v>
      </c>
    </row>
    <row r="639" spans="1:4" ht="22.5" x14ac:dyDescent="0.25">
      <c r="A639" s="755"/>
      <c r="B639" s="288" t="s">
        <v>1241</v>
      </c>
      <c r="C639" s="289" t="s">
        <v>533</v>
      </c>
      <c r="D639" s="759" t="s">
        <v>2664</v>
      </c>
    </row>
    <row r="640" spans="1:4" x14ac:dyDescent="0.25">
      <c r="A640" s="755"/>
      <c r="B640" s="288" t="s">
        <v>1242</v>
      </c>
      <c r="C640" s="289" t="s">
        <v>1395</v>
      </c>
      <c r="D640" s="759"/>
    </row>
    <row r="641" spans="1:4" ht="15.75" thickBot="1" x14ac:dyDescent="0.3">
      <c r="A641" s="756"/>
      <c r="B641" s="290" t="s">
        <v>2539</v>
      </c>
      <c r="C641" s="291" t="s">
        <v>9</v>
      </c>
      <c r="D641" s="760"/>
    </row>
    <row r="642" spans="1:4" x14ac:dyDescent="0.25">
      <c r="A642" s="754">
        <v>161</v>
      </c>
      <c r="B642" s="285" t="s">
        <v>1239</v>
      </c>
      <c r="C642" s="286" t="s">
        <v>4775</v>
      </c>
      <c r="D642" s="287" t="s">
        <v>47</v>
      </c>
    </row>
    <row r="643" spans="1:4" ht="22.5" x14ac:dyDescent="0.25">
      <c r="A643" s="755"/>
      <c r="B643" s="288" t="s">
        <v>1241</v>
      </c>
      <c r="C643" s="289" t="s">
        <v>3619</v>
      </c>
      <c r="D643" s="759" t="s">
        <v>4776</v>
      </c>
    </row>
    <row r="644" spans="1:4" ht="22.5" customHeight="1" x14ac:dyDescent="0.25">
      <c r="A644" s="755"/>
      <c r="B644" s="288" t="s">
        <v>1242</v>
      </c>
      <c r="C644" s="289" t="s">
        <v>1936</v>
      </c>
      <c r="D644" s="759"/>
    </row>
    <row r="645" spans="1:4" ht="15.75" thickBot="1" x14ac:dyDescent="0.3">
      <c r="A645" s="756"/>
      <c r="B645" s="290" t="s">
        <v>2539</v>
      </c>
      <c r="C645" s="291" t="s">
        <v>52</v>
      </c>
      <c r="D645" s="760"/>
    </row>
    <row r="646" spans="1:4" x14ac:dyDescent="0.25">
      <c r="A646" s="754">
        <v>162</v>
      </c>
      <c r="B646" s="285" t="s">
        <v>1239</v>
      </c>
      <c r="C646" s="286" t="s">
        <v>2668</v>
      </c>
      <c r="D646" s="287" t="s">
        <v>47</v>
      </c>
    </row>
    <row r="647" spans="1:4" ht="22.5" x14ac:dyDescent="0.25">
      <c r="A647" s="755"/>
      <c r="B647" s="288" t="s">
        <v>1241</v>
      </c>
      <c r="C647" s="289" t="s">
        <v>658</v>
      </c>
      <c r="D647" s="759" t="s">
        <v>2548</v>
      </c>
    </row>
    <row r="648" spans="1:4" x14ac:dyDescent="0.25">
      <c r="A648" s="755"/>
      <c r="B648" s="288" t="s">
        <v>1242</v>
      </c>
      <c r="C648" s="289" t="s">
        <v>1364</v>
      </c>
      <c r="D648" s="759"/>
    </row>
    <row r="649" spans="1:4" ht="15.75" thickBot="1" x14ac:dyDescent="0.3">
      <c r="A649" s="756"/>
      <c r="B649" s="290" t="s">
        <v>2539</v>
      </c>
      <c r="C649" s="291" t="s">
        <v>659</v>
      </c>
      <c r="D649" s="760"/>
    </row>
    <row r="650" spans="1:4" x14ac:dyDescent="0.25">
      <c r="A650" s="754">
        <v>163</v>
      </c>
      <c r="B650" s="285" t="s">
        <v>1239</v>
      </c>
      <c r="C650" s="286" t="s">
        <v>2669</v>
      </c>
      <c r="D650" s="287" t="s">
        <v>47</v>
      </c>
    </row>
    <row r="651" spans="1:4" x14ac:dyDescent="0.25">
      <c r="A651" s="755"/>
      <c r="B651" s="288" t="s">
        <v>1241</v>
      </c>
      <c r="C651" s="289" t="s">
        <v>596</v>
      </c>
      <c r="D651" s="759" t="s">
        <v>2670</v>
      </c>
    </row>
    <row r="652" spans="1:4" x14ac:dyDescent="0.25">
      <c r="A652" s="755"/>
      <c r="B652" s="288" t="s">
        <v>1242</v>
      </c>
      <c r="C652" s="289" t="s">
        <v>1550</v>
      </c>
      <c r="D652" s="759"/>
    </row>
    <row r="653" spans="1:4" ht="15.75" thickBot="1" x14ac:dyDescent="0.3">
      <c r="A653" s="756"/>
      <c r="B653" s="290" t="s">
        <v>2539</v>
      </c>
      <c r="C653" s="291" t="s">
        <v>52</v>
      </c>
      <c r="D653" s="760"/>
    </row>
    <row r="654" spans="1:4" x14ac:dyDescent="0.25">
      <c r="A654" s="754">
        <v>164</v>
      </c>
      <c r="B654" s="285" t="s">
        <v>1239</v>
      </c>
      <c r="C654" s="286" t="s">
        <v>577</v>
      </c>
      <c r="D654" s="287" t="s">
        <v>47</v>
      </c>
    </row>
    <row r="655" spans="1:4" ht="33.75" x14ac:dyDescent="0.25">
      <c r="A655" s="755"/>
      <c r="B655" s="288" t="s">
        <v>1241</v>
      </c>
      <c r="C655" s="289" t="s">
        <v>2673</v>
      </c>
      <c r="D655" s="759" t="s">
        <v>2674</v>
      </c>
    </row>
    <row r="656" spans="1:4" x14ac:dyDescent="0.25">
      <c r="A656" s="755"/>
      <c r="B656" s="288" t="s">
        <v>1242</v>
      </c>
      <c r="C656" s="289" t="s">
        <v>2672</v>
      </c>
      <c r="D656" s="759"/>
    </row>
    <row r="657" spans="1:4" ht="15.75" thickBot="1" x14ac:dyDescent="0.3">
      <c r="A657" s="756"/>
      <c r="B657" s="290" t="s">
        <v>2539</v>
      </c>
      <c r="C657" s="291" t="s">
        <v>104</v>
      </c>
      <c r="D657" s="760"/>
    </row>
    <row r="658" spans="1:4" x14ac:dyDescent="0.25">
      <c r="A658" s="754">
        <v>165</v>
      </c>
      <c r="B658" s="285" t="s">
        <v>1239</v>
      </c>
      <c r="C658" s="286" t="s">
        <v>495</v>
      </c>
      <c r="D658" s="287" t="s">
        <v>47</v>
      </c>
    </row>
    <row r="659" spans="1:4" ht="33.75" x14ac:dyDescent="0.25">
      <c r="A659" s="755"/>
      <c r="B659" s="288" t="s">
        <v>1241</v>
      </c>
      <c r="C659" s="289" t="s">
        <v>2671</v>
      </c>
      <c r="D659" s="757" t="s">
        <v>2579</v>
      </c>
    </row>
    <row r="660" spans="1:4" x14ac:dyDescent="0.25">
      <c r="A660" s="755"/>
      <c r="B660" s="288" t="s">
        <v>1242</v>
      </c>
      <c r="C660" s="289" t="s">
        <v>1358</v>
      </c>
      <c r="D660" s="757"/>
    </row>
    <row r="661" spans="1:4" ht="15.75" thickBot="1" x14ac:dyDescent="0.3">
      <c r="A661" s="756"/>
      <c r="B661" s="290" t="s">
        <v>2539</v>
      </c>
      <c r="C661" s="291" t="s">
        <v>75</v>
      </c>
      <c r="D661" s="758"/>
    </row>
    <row r="662" spans="1:4" x14ac:dyDescent="0.25">
      <c r="A662" s="754">
        <v>166</v>
      </c>
      <c r="B662" s="285" t="s">
        <v>1239</v>
      </c>
      <c r="C662" s="299" t="s">
        <v>2675</v>
      </c>
      <c r="D662" s="287" t="s">
        <v>47</v>
      </c>
    </row>
    <row r="663" spans="1:4" ht="22.5" x14ac:dyDescent="0.25">
      <c r="A663" s="755"/>
      <c r="B663" s="288" t="s">
        <v>1241</v>
      </c>
      <c r="C663" s="289" t="s">
        <v>535</v>
      </c>
      <c r="D663" s="759" t="s">
        <v>2664</v>
      </c>
    </row>
    <row r="664" spans="1:4" x14ac:dyDescent="0.25">
      <c r="A664" s="755"/>
      <c r="B664" s="288" t="s">
        <v>1242</v>
      </c>
      <c r="C664" s="289" t="s">
        <v>1395</v>
      </c>
      <c r="D664" s="759"/>
    </row>
    <row r="665" spans="1:4" ht="15.75" thickBot="1" x14ac:dyDescent="0.3">
      <c r="A665" s="756"/>
      <c r="B665" s="290" t="s">
        <v>2539</v>
      </c>
      <c r="C665" s="291" t="s">
        <v>9</v>
      </c>
      <c r="D665" s="760"/>
    </row>
    <row r="666" spans="1:4" x14ac:dyDescent="0.25">
      <c r="A666" s="754">
        <v>167</v>
      </c>
      <c r="B666" s="285" t="s">
        <v>1239</v>
      </c>
      <c r="C666" s="299" t="s">
        <v>4777</v>
      </c>
      <c r="D666" s="287" t="s">
        <v>47</v>
      </c>
    </row>
    <row r="667" spans="1:4" x14ac:dyDescent="0.25">
      <c r="A667" s="755"/>
      <c r="B667" s="288" t="s">
        <v>1241</v>
      </c>
      <c r="C667" s="289" t="s">
        <v>4778</v>
      </c>
      <c r="D667" s="759" t="s">
        <v>4779</v>
      </c>
    </row>
    <row r="668" spans="1:4" x14ac:dyDescent="0.25">
      <c r="A668" s="755"/>
      <c r="B668" s="288" t="s">
        <v>1242</v>
      </c>
      <c r="C668" s="289" t="s">
        <v>1252</v>
      </c>
      <c r="D668" s="759"/>
    </row>
    <row r="669" spans="1:4" ht="15.75" thickBot="1" x14ac:dyDescent="0.3">
      <c r="A669" s="756"/>
      <c r="B669" s="290" t="s">
        <v>2539</v>
      </c>
      <c r="C669" s="291" t="s">
        <v>75</v>
      </c>
      <c r="D669" s="760"/>
    </row>
    <row r="670" spans="1:4" x14ac:dyDescent="0.25">
      <c r="A670" s="754">
        <v>168</v>
      </c>
      <c r="B670" s="300" t="s">
        <v>1239</v>
      </c>
      <c r="C670" s="301" t="s">
        <v>597</v>
      </c>
      <c r="D670" s="302" t="s">
        <v>47</v>
      </c>
    </row>
    <row r="671" spans="1:4" x14ac:dyDescent="0.25">
      <c r="A671" s="755"/>
      <c r="B671" s="303" t="s">
        <v>1241</v>
      </c>
      <c r="C671" s="304" t="s">
        <v>598</v>
      </c>
      <c r="D671" s="761" t="s">
        <v>2676</v>
      </c>
    </row>
    <row r="672" spans="1:4" x14ac:dyDescent="0.25">
      <c r="A672" s="755"/>
      <c r="B672" s="303" t="s">
        <v>1242</v>
      </c>
      <c r="C672" s="304" t="s">
        <v>1874</v>
      </c>
      <c r="D672" s="761"/>
    </row>
    <row r="673" spans="1:4" ht="15.75" thickBot="1" x14ac:dyDescent="0.3">
      <c r="A673" s="756"/>
      <c r="B673" s="305" t="s">
        <v>2539</v>
      </c>
      <c r="C673" s="306" t="s">
        <v>52</v>
      </c>
      <c r="D673" s="762"/>
    </row>
    <row r="674" spans="1:4" x14ac:dyDescent="0.25">
      <c r="A674" s="754">
        <v>169</v>
      </c>
      <c r="B674" s="285" t="s">
        <v>1239</v>
      </c>
      <c r="C674" s="286" t="s">
        <v>4780</v>
      </c>
      <c r="D674" s="287" t="s">
        <v>47</v>
      </c>
    </row>
    <row r="675" spans="1:4" x14ac:dyDescent="0.25">
      <c r="A675" s="755"/>
      <c r="B675" s="288" t="s">
        <v>1241</v>
      </c>
      <c r="C675" s="289" t="s">
        <v>2677</v>
      </c>
      <c r="D675" s="759" t="s">
        <v>4781</v>
      </c>
    </row>
    <row r="676" spans="1:4" x14ac:dyDescent="0.25">
      <c r="A676" s="755"/>
      <c r="B676" s="288" t="s">
        <v>1242</v>
      </c>
      <c r="C676" s="289" t="s">
        <v>1364</v>
      </c>
      <c r="D676" s="759"/>
    </row>
    <row r="677" spans="1:4" ht="23.25" customHeight="1" thickBot="1" x14ac:dyDescent="0.3">
      <c r="A677" s="756"/>
      <c r="B677" s="290" t="s">
        <v>2539</v>
      </c>
      <c r="C677" s="291" t="s">
        <v>52</v>
      </c>
      <c r="D677" s="760"/>
    </row>
    <row r="678" spans="1:4" x14ac:dyDescent="0.25">
      <c r="A678" s="754">
        <v>170</v>
      </c>
      <c r="B678" s="285" t="s">
        <v>1239</v>
      </c>
      <c r="C678" s="286" t="s">
        <v>2665</v>
      </c>
      <c r="D678" s="287" t="s">
        <v>47</v>
      </c>
    </row>
    <row r="679" spans="1:4" ht="33.75" x14ac:dyDescent="0.25">
      <c r="A679" s="755"/>
      <c r="B679" s="288" t="s">
        <v>1241</v>
      </c>
      <c r="C679" s="289" t="s">
        <v>509</v>
      </c>
      <c r="D679" s="759" t="s">
        <v>2666</v>
      </c>
    </row>
    <row r="680" spans="1:4" x14ac:dyDescent="0.25">
      <c r="A680" s="755"/>
      <c r="B680" s="288" t="s">
        <v>1242</v>
      </c>
      <c r="C680" s="289" t="s">
        <v>2667</v>
      </c>
      <c r="D680" s="759"/>
    </row>
    <row r="681" spans="1:4" ht="15.75" thickBot="1" x14ac:dyDescent="0.3">
      <c r="A681" s="756"/>
      <c r="B681" s="290" t="s">
        <v>2539</v>
      </c>
      <c r="C681" s="291" t="s">
        <v>77</v>
      </c>
      <c r="D681" s="760"/>
    </row>
    <row r="682" spans="1:4" x14ac:dyDescent="0.25">
      <c r="A682" s="754">
        <v>171</v>
      </c>
      <c r="B682" s="292" t="s">
        <v>1239</v>
      </c>
      <c r="C682" s="293" t="s">
        <v>3785</v>
      </c>
      <c r="D682" s="294" t="s">
        <v>47</v>
      </c>
    </row>
    <row r="683" spans="1:4" ht="22.5" x14ac:dyDescent="0.25">
      <c r="A683" s="755"/>
      <c r="B683" s="295" t="s">
        <v>1241</v>
      </c>
      <c r="C683" s="296" t="s">
        <v>3786</v>
      </c>
      <c r="D683" s="757" t="s">
        <v>4783</v>
      </c>
    </row>
    <row r="684" spans="1:4" x14ac:dyDescent="0.25">
      <c r="A684" s="755"/>
      <c r="B684" s="295" t="s">
        <v>1242</v>
      </c>
      <c r="C684" s="296" t="s">
        <v>1750</v>
      </c>
      <c r="D684" s="757"/>
    </row>
    <row r="685" spans="1:4" ht="15.75" thickBot="1" x14ac:dyDescent="0.3">
      <c r="A685" s="756"/>
      <c r="B685" s="297" t="s">
        <v>2539</v>
      </c>
      <c r="C685" s="298" t="s">
        <v>52</v>
      </c>
      <c r="D685" s="758"/>
    </row>
    <row r="686" spans="1:4" x14ac:dyDescent="0.25">
      <c r="A686" s="754">
        <v>172</v>
      </c>
      <c r="B686" s="285" t="s">
        <v>1239</v>
      </c>
      <c r="C686" s="286" t="s">
        <v>4784</v>
      </c>
      <c r="D686" s="287" t="s">
        <v>47</v>
      </c>
    </row>
    <row r="687" spans="1:4" ht="45" x14ac:dyDescent="0.25">
      <c r="A687" s="755"/>
      <c r="B687" s="288" t="s">
        <v>1241</v>
      </c>
      <c r="C687" s="289" t="s">
        <v>3624</v>
      </c>
      <c r="D687" s="759" t="s">
        <v>4725</v>
      </c>
    </row>
    <row r="688" spans="1:4" ht="22.5" customHeight="1" x14ac:dyDescent="0.25">
      <c r="A688" s="755"/>
      <c r="B688" s="288" t="s">
        <v>1242</v>
      </c>
      <c r="C688" s="289" t="s">
        <v>1936</v>
      </c>
      <c r="D688" s="759"/>
    </row>
    <row r="689" spans="1:4" ht="15.75" thickBot="1" x14ac:dyDescent="0.3">
      <c r="A689" s="756"/>
      <c r="B689" s="290" t="s">
        <v>2539</v>
      </c>
      <c r="C689" s="291" t="s">
        <v>52</v>
      </c>
      <c r="D689" s="760"/>
    </row>
    <row r="690" spans="1:4" x14ac:dyDescent="0.25">
      <c r="A690" s="754">
        <v>173</v>
      </c>
      <c r="B690" s="285" t="s">
        <v>1239</v>
      </c>
      <c r="C690" s="286" t="s">
        <v>3744</v>
      </c>
      <c r="D690" s="287" t="s">
        <v>47</v>
      </c>
    </row>
    <row r="691" spans="1:4" x14ac:dyDescent="0.25">
      <c r="A691" s="755"/>
      <c r="B691" s="288" t="s">
        <v>1241</v>
      </c>
      <c r="C691" s="289" t="s">
        <v>3745</v>
      </c>
      <c r="D691" s="759" t="s">
        <v>4785</v>
      </c>
    </row>
    <row r="692" spans="1:4" x14ac:dyDescent="0.25">
      <c r="A692" s="755"/>
      <c r="B692" s="288" t="s">
        <v>1242</v>
      </c>
      <c r="C692" s="289" t="s">
        <v>1550</v>
      </c>
      <c r="D692" s="759"/>
    </row>
    <row r="693" spans="1:4" ht="15.75" thickBot="1" x14ac:dyDescent="0.3">
      <c r="A693" s="756"/>
      <c r="B693" s="290" t="s">
        <v>2539</v>
      </c>
      <c r="C693" s="291" t="s">
        <v>52</v>
      </c>
      <c r="D693" s="760"/>
    </row>
    <row r="694" spans="1:4" x14ac:dyDescent="0.25">
      <c r="A694" s="754">
        <v>174</v>
      </c>
      <c r="B694" s="285" t="s">
        <v>1239</v>
      </c>
      <c r="C694" s="286" t="s">
        <v>1286</v>
      </c>
      <c r="D694" s="287" t="s">
        <v>47</v>
      </c>
    </row>
    <row r="695" spans="1:4" x14ac:dyDescent="0.25">
      <c r="A695" s="755"/>
      <c r="B695" s="288" t="s">
        <v>1241</v>
      </c>
      <c r="C695" s="289" t="s">
        <v>480</v>
      </c>
      <c r="D695" s="757" t="s">
        <v>2615</v>
      </c>
    </row>
    <row r="696" spans="1:4" x14ac:dyDescent="0.25">
      <c r="A696" s="755"/>
      <c r="B696" s="288" t="s">
        <v>1242</v>
      </c>
      <c r="C696" s="289" t="s">
        <v>1281</v>
      </c>
      <c r="D696" s="757"/>
    </row>
    <row r="697" spans="1:4" ht="15.75" thickBot="1" x14ac:dyDescent="0.3">
      <c r="A697" s="756"/>
      <c r="B697" s="290" t="s">
        <v>2539</v>
      </c>
      <c r="C697" s="291" t="s">
        <v>52</v>
      </c>
      <c r="D697" s="758"/>
    </row>
  </sheetData>
  <autoFilter ref="C1:C697"/>
  <mergeCells count="349">
    <mergeCell ref="A1:D1"/>
    <mergeCell ref="A2:A5"/>
    <mergeCell ref="D3:D5"/>
    <mergeCell ref="A6:A9"/>
    <mergeCell ref="D7:D9"/>
    <mergeCell ref="A10:A13"/>
    <mergeCell ref="D11:D13"/>
    <mergeCell ref="A26:A29"/>
    <mergeCell ref="D27:D29"/>
    <mergeCell ref="A30:A33"/>
    <mergeCell ref="D31:D33"/>
    <mergeCell ref="A34:A37"/>
    <mergeCell ref="D35:D37"/>
    <mergeCell ref="A14:A17"/>
    <mergeCell ref="D15:D17"/>
    <mergeCell ref="A18:A21"/>
    <mergeCell ref="D19:D21"/>
    <mergeCell ref="A22:A25"/>
    <mergeCell ref="D23:D25"/>
    <mergeCell ref="A50:A53"/>
    <mergeCell ref="D51:D53"/>
    <mergeCell ref="A54:A57"/>
    <mergeCell ref="D55:D57"/>
    <mergeCell ref="A58:A61"/>
    <mergeCell ref="D59:D61"/>
    <mergeCell ref="A38:A41"/>
    <mergeCell ref="D39:D41"/>
    <mergeCell ref="A42:A45"/>
    <mergeCell ref="D43:D45"/>
    <mergeCell ref="A46:A49"/>
    <mergeCell ref="D47:D49"/>
    <mergeCell ref="A74:A77"/>
    <mergeCell ref="D75:D77"/>
    <mergeCell ref="A78:A81"/>
    <mergeCell ref="D79:D81"/>
    <mergeCell ref="A82:A85"/>
    <mergeCell ref="D83:D85"/>
    <mergeCell ref="A62:A65"/>
    <mergeCell ref="D63:D65"/>
    <mergeCell ref="A66:A69"/>
    <mergeCell ref="D67:D69"/>
    <mergeCell ref="A70:A73"/>
    <mergeCell ref="D71:D73"/>
    <mergeCell ref="A98:A101"/>
    <mergeCell ref="D99:D101"/>
    <mergeCell ref="A102:A105"/>
    <mergeCell ref="D103:D105"/>
    <mergeCell ref="A106:A109"/>
    <mergeCell ref="D107:D109"/>
    <mergeCell ref="A86:A89"/>
    <mergeCell ref="D87:D89"/>
    <mergeCell ref="A90:A93"/>
    <mergeCell ref="D91:D93"/>
    <mergeCell ref="A94:A97"/>
    <mergeCell ref="D95:D97"/>
    <mergeCell ref="A122:A125"/>
    <mergeCell ref="D123:D125"/>
    <mergeCell ref="A126:A129"/>
    <mergeCell ref="D127:D129"/>
    <mergeCell ref="A130:A133"/>
    <mergeCell ref="D131:D133"/>
    <mergeCell ref="A110:A113"/>
    <mergeCell ref="D111:D113"/>
    <mergeCell ref="A114:A117"/>
    <mergeCell ref="D115:D117"/>
    <mergeCell ref="A118:A121"/>
    <mergeCell ref="D119:D121"/>
    <mergeCell ref="A146:A149"/>
    <mergeCell ref="D147:D149"/>
    <mergeCell ref="A150:A153"/>
    <mergeCell ref="D151:D153"/>
    <mergeCell ref="A154:A157"/>
    <mergeCell ref="D155:D157"/>
    <mergeCell ref="A134:A137"/>
    <mergeCell ref="D135:D137"/>
    <mergeCell ref="A138:A141"/>
    <mergeCell ref="D139:D141"/>
    <mergeCell ref="A142:A145"/>
    <mergeCell ref="D143:D145"/>
    <mergeCell ref="A170:A173"/>
    <mergeCell ref="D171:D173"/>
    <mergeCell ref="A174:A177"/>
    <mergeCell ref="D175:D177"/>
    <mergeCell ref="A178:A181"/>
    <mergeCell ref="D179:D181"/>
    <mergeCell ref="A158:A161"/>
    <mergeCell ref="D159:D161"/>
    <mergeCell ref="A162:A165"/>
    <mergeCell ref="D163:D165"/>
    <mergeCell ref="A166:A169"/>
    <mergeCell ref="D167:D169"/>
    <mergeCell ref="A194:A197"/>
    <mergeCell ref="D195:D197"/>
    <mergeCell ref="A198:A201"/>
    <mergeCell ref="D199:D201"/>
    <mergeCell ref="A202:A205"/>
    <mergeCell ref="D203:D205"/>
    <mergeCell ref="A182:A185"/>
    <mergeCell ref="D183:D185"/>
    <mergeCell ref="A186:A189"/>
    <mergeCell ref="D187:D189"/>
    <mergeCell ref="A190:A193"/>
    <mergeCell ref="D191:D193"/>
    <mergeCell ref="A218:A221"/>
    <mergeCell ref="D219:D221"/>
    <mergeCell ref="A222:A225"/>
    <mergeCell ref="D223:D225"/>
    <mergeCell ref="A206:A209"/>
    <mergeCell ref="D207:D209"/>
    <mergeCell ref="A210:A213"/>
    <mergeCell ref="D211:D213"/>
    <mergeCell ref="A214:A217"/>
    <mergeCell ref="D215:D217"/>
    <mergeCell ref="A238:A241"/>
    <mergeCell ref="D239:D241"/>
    <mergeCell ref="A242:A245"/>
    <mergeCell ref="D243:D245"/>
    <mergeCell ref="A246:A249"/>
    <mergeCell ref="D247:D249"/>
    <mergeCell ref="A226:A229"/>
    <mergeCell ref="D227:D229"/>
    <mergeCell ref="A230:A233"/>
    <mergeCell ref="D231:D233"/>
    <mergeCell ref="A234:A237"/>
    <mergeCell ref="D235:D237"/>
    <mergeCell ref="A262:A265"/>
    <mergeCell ref="D263:D265"/>
    <mergeCell ref="A266:A269"/>
    <mergeCell ref="D267:D269"/>
    <mergeCell ref="A270:A273"/>
    <mergeCell ref="D271:D273"/>
    <mergeCell ref="A250:A253"/>
    <mergeCell ref="D251:D253"/>
    <mergeCell ref="A254:A257"/>
    <mergeCell ref="D255:D257"/>
    <mergeCell ref="A258:A261"/>
    <mergeCell ref="D259:D261"/>
    <mergeCell ref="A286:A289"/>
    <mergeCell ref="D287:D289"/>
    <mergeCell ref="A290:A293"/>
    <mergeCell ref="D291:D293"/>
    <mergeCell ref="A294:A297"/>
    <mergeCell ref="D295:D297"/>
    <mergeCell ref="A274:A277"/>
    <mergeCell ref="D275:D277"/>
    <mergeCell ref="A278:A281"/>
    <mergeCell ref="D279:D281"/>
    <mergeCell ref="A282:A285"/>
    <mergeCell ref="D283:D285"/>
    <mergeCell ref="A310:A313"/>
    <mergeCell ref="D311:D313"/>
    <mergeCell ref="A314:A317"/>
    <mergeCell ref="D315:D317"/>
    <mergeCell ref="A318:A321"/>
    <mergeCell ref="D319:D321"/>
    <mergeCell ref="A298:A301"/>
    <mergeCell ref="D299:D301"/>
    <mergeCell ref="A302:A305"/>
    <mergeCell ref="D303:D305"/>
    <mergeCell ref="A306:A309"/>
    <mergeCell ref="D307:D309"/>
    <mergeCell ref="A334:A337"/>
    <mergeCell ref="D335:D337"/>
    <mergeCell ref="A338:A341"/>
    <mergeCell ref="D339:D341"/>
    <mergeCell ref="A342:A345"/>
    <mergeCell ref="D343:D345"/>
    <mergeCell ref="A322:A325"/>
    <mergeCell ref="D323:D325"/>
    <mergeCell ref="A326:A329"/>
    <mergeCell ref="D327:D329"/>
    <mergeCell ref="A330:A333"/>
    <mergeCell ref="D331:D333"/>
    <mergeCell ref="A358:A361"/>
    <mergeCell ref="D359:D361"/>
    <mergeCell ref="A362:A365"/>
    <mergeCell ref="D363:D365"/>
    <mergeCell ref="A366:A369"/>
    <mergeCell ref="D367:D369"/>
    <mergeCell ref="A346:A349"/>
    <mergeCell ref="D347:D349"/>
    <mergeCell ref="A350:A353"/>
    <mergeCell ref="D351:D353"/>
    <mergeCell ref="A354:A357"/>
    <mergeCell ref="D355:D357"/>
    <mergeCell ref="A382:A385"/>
    <mergeCell ref="D383:D385"/>
    <mergeCell ref="A386:A389"/>
    <mergeCell ref="D387:D389"/>
    <mergeCell ref="A390:A393"/>
    <mergeCell ref="D391:D393"/>
    <mergeCell ref="A370:A373"/>
    <mergeCell ref="D371:D373"/>
    <mergeCell ref="A374:A377"/>
    <mergeCell ref="D375:D377"/>
    <mergeCell ref="A378:A381"/>
    <mergeCell ref="D379:D381"/>
    <mergeCell ref="A406:A409"/>
    <mergeCell ref="D407:D409"/>
    <mergeCell ref="A410:A413"/>
    <mergeCell ref="D411:D413"/>
    <mergeCell ref="A414:A417"/>
    <mergeCell ref="D415:D417"/>
    <mergeCell ref="A394:A397"/>
    <mergeCell ref="D395:D397"/>
    <mergeCell ref="A398:A401"/>
    <mergeCell ref="D399:D401"/>
    <mergeCell ref="A402:A405"/>
    <mergeCell ref="D403:D405"/>
    <mergeCell ref="A430:A433"/>
    <mergeCell ref="D431:D433"/>
    <mergeCell ref="A434:A437"/>
    <mergeCell ref="D435:D437"/>
    <mergeCell ref="A438:A441"/>
    <mergeCell ref="D439:D441"/>
    <mergeCell ref="A418:A421"/>
    <mergeCell ref="D419:D421"/>
    <mergeCell ref="A422:A425"/>
    <mergeCell ref="D423:D425"/>
    <mergeCell ref="A426:A429"/>
    <mergeCell ref="D427:D429"/>
    <mergeCell ref="A450:A453"/>
    <mergeCell ref="D451:D453"/>
    <mergeCell ref="A454:A457"/>
    <mergeCell ref="D455:D457"/>
    <mergeCell ref="A458:A461"/>
    <mergeCell ref="D459:D461"/>
    <mergeCell ref="A442:A445"/>
    <mergeCell ref="D443:D445"/>
    <mergeCell ref="A446:A449"/>
    <mergeCell ref="D447:D449"/>
    <mergeCell ref="A474:A477"/>
    <mergeCell ref="D475:D477"/>
    <mergeCell ref="A478:A481"/>
    <mergeCell ref="D479:D481"/>
    <mergeCell ref="A482:A485"/>
    <mergeCell ref="D483:D485"/>
    <mergeCell ref="A462:A465"/>
    <mergeCell ref="D463:D465"/>
    <mergeCell ref="A466:A469"/>
    <mergeCell ref="D467:D469"/>
    <mergeCell ref="A470:A473"/>
    <mergeCell ref="D471:D473"/>
    <mergeCell ref="A498:A501"/>
    <mergeCell ref="D499:D501"/>
    <mergeCell ref="A502:A505"/>
    <mergeCell ref="D503:D505"/>
    <mergeCell ref="A506:A509"/>
    <mergeCell ref="D507:D509"/>
    <mergeCell ref="A486:A489"/>
    <mergeCell ref="D487:D489"/>
    <mergeCell ref="A490:A493"/>
    <mergeCell ref="D491:D493"/>
    <mergeCell ref="A494:A497"/>
    <mergeCell ref="D495:D497"/>
    <mergeCell ref="A522:A525"/>
    <mergeCell ref="D523:D525"/>
    <mergeCell ref="A526:A529"/>
    <mergeCell ref="D527:D529"/>
    <mergeCell ref="A530:A533"/>
    <mergeCell ref="D531:D533"/>
    <mergeCell ref="A510:A513"/>
    <mergeCell ref="D511:D513"/>
    <mergeCell ref="A514:A517"/>
    <mergeCell ref="D515:D517"/>
    <mergeCell ref="A518:A521"/>
    <mergeCell ref="D519:D521"/>
    <mergeCell ref="A546:A549"/>
    <mergeCell ref="D547:D549"/>
    <mergeCell ref="A550:A553"/>
    <mergeCell ref="D551:D553"/>
    <mergeCell ref="A554:A557"/>
    <mergeCell ref="D555:D557"/>
    <mergeCell ref="A534:A537"/>
    <mergeCell ref="D535:D537"/>
    <mergeCell ref="A538:A541"/>
    <mergeCell ref="D539:D541"/>
    <mergeCell ref="A542:A545"/>
    <mergeCell ref="D543:D545"/>
    <mergeCell ref="A566:A569"/>
    <mergeCell ref="D567:D569"/>
    <mergeCell ref="A570:A573"/>
    <mergeCell ref="D571:D573"/>
    <mergeCell ref="A574:A577"/>
    <mergeCell ref="D575:D577"/>
    <mergeCell ref="A558:A561"/>
    <mergeCell ref="D559:D561"/>
    <mergeCell ref="A562:A565"/>
    <mergeCell ref="D563:D565"/>
    <mergeCell ref="A590:A593"/>
    <mergeCell ref="D591:D593"/>
    <mergeCell ref="A594:A597"/>
    <mergeCell ref="D595:D597"/>
    <mergeCell ref="A598:A601"/>
    <mergeCell ref="D599:D601"/>
    <mergeCell ref="A578:A581"/>
    <mergeCell ref="D579:D581"/>
    <mergeCell ref="A582:A585"/>
    <mergeCell ref="D583:D585"/>
    <mergeCell ref="A586:A589"/>
    <mergeCell ref="D587:D589"/>
    <mergeCell ref="A614:A617"/>
    <mergeCell ref="D615:D617"/>
    <mergeCell ref="A618:A621"/>
    <mergeCell ref="D619:D621"/>
    <mergeCell ref="A622:A625"/>
    <mergeCell ref="D623:D625"/>
    <mergeCell ref="A602:A605"/>
    <mergeCell ref="D603:D605"/>
    <mergeCell ref="A606:A609"/>
    <mergeCell ref="D607:D609"/>
    <mergeCell ref="A610:A613"/>
    <mergeCell ref="D611:D613"/>
    <mergeCell ref="A638:A641"/>
    <mergeCell ref="D639:D641"/>
    <mergeCell ref="A642:A645"/>
    <mergeCell ref="D643:D645"/>
    <mergeCell ref="A646:A649"/>
    <mergeCell ref="D647:D649"/>
    <mergeCell ref="A626:A629"/>
    <mergeCell ref="D627:D629"/>
    <mergeCell ref="A630:A633"/>
    <mergeCell ref="D631:D633"/>
    <mergeCell ref="A634:A637"/>
    <mergeCell ref="D635:D637"/>
    <mergeCell ref="D663:D665"/>
    <mergeCell ref="D667:D669"/>
    <mergeCell ref="A670:A673"/>
    <mergeCell ref="D671:D673"/>
    <mergeCell ref="A662:A665"/>
    <mergeCell ref="A666:A669"/>
    <mergeCell ref="A650:A653"/>
    <mergeCell ref="D651:D653"/>
    <mergeCell ref="A654:A657"/>
    <mergeCell ref="D655:D657"/>
    <mergeCell ref="A658:A661"/>
    <mergeCell ref="D659:D661"/>
    <mergeCell ref="A694:A697"/>
    <mergeCell ref="D695:D697"/>
    <mergeCell ref="A686:A689"/>
    <mergeCell ref="D687:D689"/>
    <mergeCell ref="A690:A693"/>
    <mergeCell ref="D691:D693"/>
    <mergeCell ref="A674:A677"/>
    <mergeCell ref="D675:D677"/>
    <mergeCell ref="A678:A681"/>
    <mergeCell ref="D679:D681"/>
    <mergeCell ref="A682:A685"/>
    <mergeCell ref="D683:D685"/>
  </mergeCells>
  <pageMargins left="0.511811024" right="0.511811024" top="0.78740157499999996" bottom="0.78740157499999996" header="0.31496062000000002" footer="0.31496062000000002"/>
  <pageSetup paperSize="9" scale="98" orientation="portrait" horizontalDpi="1200" verticalDpi="1200" r:id="rId1"/>
  <rowBreaks count="1" manualBreakCount="1">
    <brk id="654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9"/>
  <sheetViews>
    <sheetView showOutlineSymbols="0" view="pageLayout" topLeftCell="A1256" zoomScaleNormal="100" workbookViewId="0">
      <selection activeCell="F1271" sqref="F1271"/>
    </sheetView>
  </sheetViews>
  <sheetFormatPr defaultRowHeight="14.25" x14ac:dyDescent="0.2"/>
  <cols>
    <col min="1" max="3" width="11.42578125" style="340" bestFit="1" customWidth="1"/>
    <col min="4" max="4" width="9.140625" style="340" bestFit="1" customWidth="1"/>
    <col min="5" max="5" width="68.5703125" style="340" bestFit="1" customWidth="1"/>
    <col min="6" max="6" width="34.28515625" style="340" bestFit="1" customWidth="1"/>
    <col min="7" max="7" width="11.42578125" style="340" bestFit="1" customWidth="1"/>
    <col min="8" max="8" width="12.5703125" style="340" bestFit="1" customWidth="1"/>
    <col min="9" max="9" width="11.42578125" style="340" bestFit="1" customWidth="1"/>
    <col min="10" max="10" width="12.5703125" style="422" bestFit="1" customWidth="1"/>
    <col min="11" max="11" width="11.42578125" style="422" bestFit="1" customWidth="1"/>
    <col min="12" max="16384" width="9.140625" style="340"/>
  </cols>
  <sheetData>
    <row r="1" spans="1:11" ht="15" customHeight="1" x14ac:dyDescent="0.25">
      <c r="A1" s="783" t="s">
        <v>3931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</row>
    <row r="2" spans="1:11" ht="30" customHeight="1" x14ac:dyDescent="0.25">
      <c r="A2" s="783" t="s">
        <v>1238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</row>
    <row r="3" spans="1:11" ht="18" customHeight="1" x14ac:dyDescent="0.2">
      <c r="A3" s="272"/>
      <c r="B3" s="272" t="s">
        <v>54</v>
      </c>
      <c r="C3" s="273" t="s">
        <v>1239</v>
      </c>
      <c r="D3" s="272" t="s">
        <v>1240</v>
      </c>
      <c r="E3" s="272" t="s">
        <v>1241</v>
      </c>
      <c r="F3" s="272" t="s">
        <v>1242</v>
      </c>
      <c r="G3" s="274" t="s">
        <v>60</v>
      </c>
      <c r="H3" s="273" t="s">
        <v>58</v>
      </c>
      <c r="I3" s="273" t="s">
        <v>1243</v>
      </c>
      <c r="J3" s="775" t="s">
        <v>196</v>
      </c>
      <c r="K3" s="776"/>
    </row>
    <row r="4" spans="1:11" ht="21.95" customHeight="1" x14ac:dyDescent="0.2">
      <c r="A4" s="275" t="s">
        <v>1244</v>
      </c>
      <c r="B4" s="275" t="s">
        <v>1245</v>
      </c>
      <c r="C4" s="276" t="s">
        <v>3932</v>
      </c>
      <c r="D4" s="275" t="s">
        <v>1246</v>
      </c>
      <c r="E4" s="275" t="s">
        <v>2693</v>
      </c>
      <c r="F4" s="275" t="s">
        <v>1247</v>
      </c>
      <c r="G4" s="277" t="s">
        <v>5</v>
      </c>
      <c r="H4" s="276">
        <v>1</v>
      </c>
      <c r="I4" s="276" t="s">
        <v>3933</v>
      </c>
      <c r="J4" s="777" t="s">
        <v>3933</v>
      </c>
      <c r="K4" s="778"/>
    </row>
    <row r="5" spans="1:11" ht="21.95" customHeight="1" x14ac:dyDescent="0.2">
      <c r="A5" s="278" t="s">
        <v>1248</v>
      </c>
      <c r="B5" s="278"/>
      <c r="C5" s="279" t="s">
        <v>1249</v>
      </c>
      <c r="D5" s="278" t="s">
        <v>1250</v>
      </c>
      <c r="E5" s="278" t="s">
        <v>1251</v>
      </c>
      <c r="F5" s="278" t="s">
        <v>1252</v>
      </c>
      <c r="G5" s="280" t="s">
        <v>1253</v>
      </c>
      <c r="H5" s="279" t="s">
        <v>3934</v>
      </c>
      <c r="I5" s="279" t="s">
        <v>1255</v>
      </c>
      <c r="J5" s="781">
        <v>123252.8</v>
      </c>
      <c r="K5" s="782"/>
    </row>
    <row r="6" spans="1:11" ht="21.95" customHeight="1" x14ac:dyDescent="0.2">
      <c r="A6" s="278" t="s">
        <v>1248</v>
      </c>
      <c r="B6" s="278"/>
      <c r="C6" s="279" t="s">
        <v>1259</v>
      </c>
      <c r="D6" s="278" t="s">
        <v>1250</v>
      </c>
      <c r="E6" s="278" t="s">
        <v>1260</v>
      </c>
      <c r="F6" s="278" t="s">
        <v>1252</v>
      </c>
      <c r="G6" s="280" t="s">
        <v>1261</v>
      </c>
      <c r="H6" s="279" t="s">
        <v>1359</v>
      </c>
      <c r="I6" s="279" t="s">
        <v>1263</v>
      </c>
      <c r="J6" s="781">
        <v>49689.3</v>
      </c>
      <c r="K6" s="782"/>
    </row>
    <row r="7" spans="1:11" ht="21.95" customHeight="1" x14ac:dyDescent="0.2">
      <c r="A7" s="278" t="s">
        <v>1248</v>
      </c>
      <c r="B7" s="278"/>
      <c r="C7" s="279" t="s">
        <v>1256</v>
      </c>
      <c r="D7" s="278" t="s">
        <v>1250</v>
      </c>
      <c r="E7" s="278" t="s">
        <v>1257</v>
      </c>
      <c r="F7" s="278" t="s">
        <v>1252</v>
      </c>
      <c r="G7" s="280" t="s">
        <v>1253</v>
      </c>
      <c r="H7" s="279" t="s">
        <v>3935</v>
      </c>
      <c r="I7" s="279" t="s">
        <v>1258</v>
      </c>
      <c r="J7" s="781">
        <v>55872</v>
      </c>
      <c r="K7" s="782"/>
    </row>
    <row r="8" spans="1:11" ht="21.95" customHeight="1" x14ac:dyDescent="0.2">
      <c r="A8" s="278" t="s">
        <v>1248</v>
      </c>
      <c r="B8" s="278"/>
      <c r="C8" s="279" t="s">
        <v>1264</v>
      </c>
      <c r="D8" s="278" t="s">
        <v>1246</v>
      </c>
      <c r="E8" s="278" t="s">
        <v>1265</v>
      </c>
      <c r="F8" s="278" t="s">
        <v>1252</v>
      </c>
      <c r="G8" s="280" t="s">
        <v>1253</v>
      </c>
      <c r="H8" s="279" t="s">
        <v>3936</v>
      </c>
      <c r="I8" s="279" t="s">
        <v>1266</v>
      </c>
      <c r="J8" s="781">
        <v>13089.6</v>
      </c>
      <c r="K8" s="782"/>
    </row>
    <row r="9" spans="1:11" ht="21.95" customHeight="1" thickBot="1" x14ac:dyDescent="0.25">
      <c r="A9" s="278" t="s">
        <v>1248</v>
      </c>
      <c r="B9" s="278"/>
      <c r="C9" s="279" t="s">
        <v>3937</v>
      </c>
      <c r="D9" s="278" t="s">
        <v>1250</v>
      </c>
      <c r="E9" s="278" t="s">
        <v>3938</v>
      </c>
      <c r="F9" s="278" t="s">
        <v>1252</v>
      </c>
      <c r="G9" s="280" t="s">
        <v>1261</v>
      </c>
      <c r="H9" s="279" t="s">
        <v>1359</v>
      </c>
      <c r="I9" s="279" t="s">
        <v>3939</v>
      </c>
      <c r="J9" s="784">
        <v>35341.199999999997</v>
      </c>
      <c r="K9" s="785"/>
    </row>
    <row r="10" spans="1:11" ht="0.95" customHeight="1" thickTop="1" x14ac:dyDescent="0.2">
      <c r="A10" s="281"/>
      <c r="B10" s="281"/>
      <c r="C10" s="281"/>
      <c r="D10" s="281"/>
      <c r="E10" s="281"/>
      <c r="F10" s="281"/>
      <c r="G10" s="281"/>
      <c r="H10" s="281"/>
      <c r="I10" s="281"/>
      <c r="J10" s="421"/>
      <c r="K10" s="421"/>
    </row>
    <row r="11" spans="1:11" ht="18" customHeight="1" x14ac:dyDescent="0.2">
      <c r="A11" s="272"/>
      <c r="B11" s="272" t="s">
        <v>54</v>
      </c>
      <c r="C11" s="273" t="s">
        <v>1239</v>
      </c>
      <c r="D11" s="272" t="s">
        <v>1240</v>
      </c>
      <c r="E11" s="272" t="s">
        <v>1241</v>
      </c>
      <c r="F11" s="272" t="s">
        <v>1242</v>
      </c>
      <c r="G11" s="274" t="s">
        <v>60</v>
      </c>
      <c r="H11" s="273" t="s">
        <v>58</v>
      </c>
      <c r="I11" s="273" t="s">
        <v>1243</v>
      </c>
      <c r="J11" s="775" t="s">
        <v>196</v>
      </c>
      <c r="K11" s="776"/>
    </row>
    <row r="12" spans="1:11" ht="21.95" customHeight="1" x14ac:dyDescent="0.2">
      <c r="A12" s="275" t="s">
        <v>1244</v>
      </c>
      <c r="B12" s="275" t="s">
        <v>3940</v>
      </c>
      <c r="C12" s="276" t="s">
        <v>1331</v>
      </c>
      <c r="D12" s="275" t="s">
        <v>1246</v>
      </c>
      <c r="E12" s="275" t="s">
        <v>482</v>
      </c>
      <c r="F12" s="275" t="s">
        <v>1247</v>
      </c>
      <c r="G12" s="277" t="s">
        <v>77</v>
      </c>
      <c r="H12" s="276">
        <v>1</v>
      </c>
      <c r="I12" s="276" t="s">
        <v>1332</v>
      </c>
      <c r="J12" s="777" t="s">
        <v>1332</v>
      </c>
      <c r="K12" s="778"/>
    </row>
    <row r="13" spans="1:11" ht="21.95" customHeight="1" thickBot="1" x14ac:dyDescent="0.25">
      <c r="A13" s="278" t="s">
        <v>1248</v>
      </c>
      <c r="B13" s="278"/>
      <c r="C13" s="279" t="s">
        <v>1333</v>
      </c>
      <c r="D13" s="278" t="s">
        <v>1250</v>
      </c>
      <c r="E13" s="278" t="s">
        <v>1334</v>
      </c>
      <c r="F13" s="278" t="s">
        <v>1252</v>
      </c>
      <c r="G13" s="280" t="s">
        <v>1253</v>
      </c>
      <c r="H13" s="279" t="s">
        <v>1335</v>
      </c>
      <c r="I13" s="279" t="s">
        <v>1336</v>
      </c>
      <c r="J13" s="784">
        <v>1.06</v>
      </c>
      <c r="K13" s="785"/>
    </row>
    <row r="14" spans="1:11" ht="0.95" customHeight="1" thickTop="1" x14ac:dyDescent="0.2">
      <c r="A14" s="281"/>
      <c r="B14" s="281"/>
      <c r="C14" s="281"/>
      <c r="D14" s="281"/>
      <c r="E14" s="281"/>
      <c r="F14" s="281"/>
      <c r="G14" s="281"/>
      <c r="H14" s="281"/>
      <c r="I14" s="281"/>
      <c r="J14" s="421"/>
      <c r="K14" s="421"/>
    </row>
    <row r="15" spans="1:11" ht="18" customHeight="1" x14ac:dyDescent="0.2">
      <c r="A15" s="272"/>
      <c r="B15" s="272" t="s">
        <v>54</v>
      </c>
      <c r="C15" s="273" t="s">
        <v>1239</v>
      </c>
      <c r="D15" s="272" t="s">
        <v>1240</v>
      </c>
      <c r="E15" s="272" t="s">
        <v>1241</v>
      </c>
      <c r="F15" s="272" t="s">
        <v>1242</v>
      </c>
      <c r="G15" s="274" t="s">
        <v>60</v>
      </c>
      <c r="H15" s="273" t="s">
        <v>58</v>
      </c>
      <c r="I15" s="273" t="s">
        <v>1243</v>
      </c>
      <c r="J15" s="775" t="s">
        <v>196</v>
      </c>
      <c r="K15" s="776"/>
    </row>
    <row r="16" spans="1:11" ht="33" customHeight="1" x14ac:dyDescent="0.2">
      <c r="A16" s="275" t="s">
        <v>1244</v>
      </c>
      <c r="B16" s="275" t="s">
        <v>3941</v>
      </c>
      <c r="C16" s="276" t="s">
        <v>1280</v>
      </c>
      <c r="D16" s="275" t="s">
        <v>1246</v>
      </c>
      <c r="E16" s="275" t="s">
        <v>479</v>
      </c>
      <c r="F16" s="275" t="s">
        <v>1281</v>
      </c>
      <c r="G16" s="277" t="s">
        <v>448</v>
      </c>
      <c r="H16" s="276">
        <v>1</v>
      </c>
      <c r="I16" s="276" t="s">
        <v>1282</v>
      </c>
      <c r="J16" s="777" t="s">
        <v>1282</v>
      </c>
      <c r="K16" s="778"/>
    </row>
    <row r="17" spans="1:11" ht="33" customHeight="1" thickBot="1" x14ac:dyDescent="0.25">
      <c r="A17" s="433" t="s">
        <v>1276</v>
      </c>
      <c r="B17" s="433"/>
      <c r="C17" s="434" t="s">
        <v>1283</v>
      </c>
      <c r="D17" s="433" t="s">
        <v>1250</v>
      </c>
      <c r="E17" s="433" t="s">
        <v>1284</v>
      </c>
      <c r="F17" s="433" t="s">
        <v>1285</v>
      </c>
      <c r="G17" s="435" t="s">
        <v>1261</v>
      </c>
      <c r="H17" s="434" t="s">
        <v>1262</v>
      </c>
      <c r="I17" s="434" t="s">
        <v>1282</v>
      </c>
      <c r="J17" s="786">
        <v>584.73</v>
      </c>
      <c r="K17" s="787"/>
    </row>
    <row r="18" spans="1:11" ht="15" x14ac:dyDescent="0.25">
      <c r="A18" s="430"/>
      <c r="B18" s="430" t="s">
        <v>54</v>
      </c>
      <c r="C18" s="431" t="s">
        <v>1239</v>
      </c>
      <c r="D18" s="430" t="s">
        <v>1240</v>
      </c>
      <c r="E18" s="430" t="s">
        <v>1241</v>
      </c>
      <c r="F18" s="430" t="s">
        <v>1242</v>
      </c>
      <c r="G18" s="432" t="s">
        <v>60</v>
      </c>
      <c r="H18" s="431" t="s">
        <v>58</v>
      </c>
      <c r="I18" s="431" t="s">
        <v>1243</v>
      </c>
      <c r="J18" s="772" t="s">
        <v>196</v>
      </c>
      <c r="K18" s="767"/>
    </row>
    <row r="19" spans="1:11" ht="15" x14ac:dyDescent="0.25">
      <c r="A19" s="307" t="s">
        <v>1244</v>
      </c>
      <c r="B19" s="307" t="s">
        <v>441</v>
      </c>
      <c r="C19" s="308" t="s">
        <v>1286</v>
      </c>
      <c r="D19" s="307" t="s">
        <v>1246</v>
      </c>
      <c r="E19" s="307" t="s">
        <v>480</v>
      </c>
      <c r="F19" s="307" t="s">
        <v>1281</v>
      </c>
      <c r="G19" s="309" t="s">
        <v>52</v>
      </c>
      <c r="H19" s="308">
        <v>1</v>
      </c>
      <c r="I19" s="308" t="s">
        <v>1287</v>
      </c>
      <c r="J19" s="773" t="s">
        <v>1287</v>
      </c>
      <c r="K19" s="767"/>
    </row>
    <row r="20" spans="1:11" ht="22.5" x14ac:dyDescent="0.25">
      <c r="A20" s="424" t="s">
        <v>1248</v>
      </c>
      <c r="B20" s="424"/>
      <c r="C20" s="425" t="s">
        <v>1288</v>
      </c>
      <c r="D20" s="424" t="s">
        <v>1250</v>
      </c>
      <c r="E20" s="424" t="s">
        <v>1289</v>
      </c>
      <c r="F20" s="424" t="s">
        <v>1252</v>
      </c>
      <c r="G20" s="426" t="s">
        <v>1253</v>
      </c>
      <c r="H20" s="425" t="s">
        <v>1290</v>
      </c>
      <c r="I20" s="425" t="s">
        <v>1291</v>
      </c>
      <c r="J20" s="774">
        <v>57.04</v>
      </c>
      <c r="K20" s="767"/>
    </row>
    <row r="21" spans="1:11" ht="22.5" x14ac:dyDescent="0.25">
      <c r="A21" s="424" t="s">
        <v>1248</v>
      </c>
      <c r="B21" s="424"/>
      <c r="C21" s="425" t="s">
        <v>1292</v>
      </c>
      <c r="D21" s="424" t="s">
        <v>1250</v>
      </c>
      <c r="E21" s="424" t="s">
        <v>1293</v>
      </c>
      <c r="F21" s="424" t="s">
        <v>1252</v>
      </c>
      <c r="G21" s="426" t="s">
        <v>1253</v>
      </c>
      <c r="H21" s="425" t="s">
        <v>1294</v>
      </c>
      <c r="I21" s="425" t="s">
        <v>1295</v>
      </c>
      <c r="J21" s="774">
        <v>139.91999999999999</v>
      </c>
      <c r="K21" s="767"/>
    </row>
    <row r="22" spans="1:11" ht="22.5" x14ac:dyDescent="0.25">
      <c r="A22" s="424" t="s">
        <v>1248</v>
      </c>
      <c r="B22" s="424"/>
      <c r="C22" s="425" t="s">
        <v>1269</v>
      </c>
      <c r="D22" s="424" t="s">
        <v>1250</v>
      </c>
      <c r="E22" s="424" t="s">
        <v>1270</v>
      </c>
      <c r="F22" s="424" t="s">
        <v>1252</v>
      </c>
      <c r="G22" s="426" t="s">
        <v>1253</v>
      </c>
      <c r="H22" s="425" t="s">
        <v>1294</v>
      </c>
      <c r="I22" s="425" t="s">
        <v>1272</v>
      </c>
      <c r="J22" s="774">
        <v>136.72</v>
      </c>
      <c r="K22" s="767"/>
    </row>
    <row r="23" spans="1:11" ht="22.5" x14ac:dyDescent="0.25">
      <c r="A23" s="424" t="s">
        <v>1248</v>
      </c>
      <c r="B23" s="424"/>
      <c r="C23" s="425" t="s">
        <v>1273</v>
      </c>
      <c r="D23" s="424" t="s">
        <v>1250</v>
      </c>
      <c r="E23" s="424" t="s">
        <v>1274</v>
      </c>
      <c r="F23" s="424" t="s">
        <v>1252</v>
      </c>
      <c r="G23" s="426" t="s">
        <v>1253</v>
      </c>
      <c r="H23" s="425" t="s">
        <v>1296</v>
      </c>
      <c r="I23" s="425" t="s">
        <v>1275</v>
      </c>
      <c r="J23" s="774">
        <v>112.78</v>
      </c>
      <c r="K23" s="767"/>
    </row>
    <row r="24" spans="1:11" ht="22.5" x14ac:dyDescent="0.25">
      <c r="A24" s="424" t="s">
        <v>1248</v>
      </c>
      <c r="B24" s="424"/>
      <c r="C24" s="425" t="s">
        <v>1297</v>
      </c>
      <c r="D24" s="424" t="s">
        <v>1250</v>
      </c>
      <c r="E24" s="424" t="s">
        <v>1298</v>
      </c>
      <c r="F24" s="424" t="s">
        <v>1252</v>
      </c>
      <c r="G24" s="426" t="s">
        <v>1253</v>
      </c>
      <c r="H24" s="425" t="s">
        <v>1294</v>
      </c>
      <c r="I24" s="425" t="s">
        <v>1299</v>
      </c>
      <c r="J24" s="774">
        <v>136</v>
      </c>
      <c r="K24" s="767"/>
    </row>
    <row r="25" spans="1:11" ht="22.5" x14ac:dyDescent="0.25">
      <c r="A25" s="427" t="s">
        <v>1276</v>
      </c>
      <c r="B25" s="427"/>
      <c r="C25" s="428" t="s">
        <v>1300</v>
      </c>
      <c r="D25" s="427" t="s">
        <v>1250</v>
      </c>
      <c r="E25" s="427" t="s">
        <v>1301</v>
      </c>
      <c r="F25" s="427" t="s">
        <v>1278</v>
      </c>
      <c r="G25" s="429" t="s">
        <v>71</v>
      </c>
      <c r="H25" s="428" t="s">
        <v>1262</v>
      </c>
      <c r="I25" s="428" t="s">
        <v>1302</v>
      </c>
      <c r="J25" s="766">
        <v>9.0500000000000007</v>
      </c>
      <c r="K25" s="767"/>
    </row>
    <row r="26" spans="1:11" ht="22.5" x14ac:dyDescent="0.25">
      <c r="A26" s="427" t="s">
        <v>1276</v>
      </c>
      <c r="B26" s="427"/>
      <c r="C26" s="428" t="s">
        <v>1303</v>
      </c>
      <c r="D26" s="427" t="s">
        <v>1250</v>
      </c>
      <c r="E26" s="427" t="s">
        <v>1304</v>
      </c>
      <c r="F26" s="427" t="s">
        <v>1278</v>
      </c>
      <c r="G26" s="429" t="s">
        <v>75</v>
      </c>
      <c r="H26" s="428" t="s">
        <v>1305</v>
      </c>
      <c r="I26" s="428" t="s">
        <v>1306</v>
      </c>
      <c r="J26" s="766">
        <v>41.5</v>
      </c>
      <c r="K26" s="767"/>
    </row>
    <row r="27" spans="1:11" ht="22.5" x14ac:dyDescent="0.25">
      <c r="A27" s="427" t="s">
        <v>1276</v>
      </c>
      <c r="B27" s="427"/>
      <c r="C27" s="428" t="s">
        <v>1307</v>
      </c>
      <c r="D27" s="427" t="s">
        <v>1250</v>
      </c>
      <c r="E27" s="427" t="s">
        <v>1308</v>
      </c>
      <c r="F27" s="427" t="s">
        <v>1278</v>
      </c>
      <c r="G27" s="429" t="s">
        <v>153</v>
      </c>
      <c r="H27" s="428" t="s">
        <v>1309</v>
      </c>
      <c r="I27" s="428" t="s">
        <v>1310</v>
      </c>
      <c r="J27" s="766">
        <v>1.1299999999999999</v>
      </c>
      <c r="K27" s="767"/>
    </row>
    <row r="28" spans="1:11" ht="22.5" x14ac:dyDescent="0.25">
      <c r="A28" s="427" t="s">
        <v>1276</v>
      </c>
      <c r="B28" s="427"/>
      <c r="C28" s="428" t="s">
        <v>1311</v>
      </c>
      <c r="D28" s="427" t="s">
        <v>1250</v>
      </c>
      <c r="E28" s="427" t="s">
        <v>1312</v>
      </c>
      <c r="F28" s="427" t="s">
        <v>1278</v>
      </c>
      <c r="G28" s="429" t="s">
        <v>52</v>
      </c>
      <c r="H28" s="428" t="s">
        <v>1262</v>
      </c>
      <c r="I28" s="428" t="s">
        <v>1313</v>
      </c>
      <c r="J28" s="766">
        <v>113.95</v>
      </c>
      <c r="K28" s="767"/>
    </row>
    <row r="29" spans="1:11" ht="22.5" x14ac:dyDescent="0.25">
      <c r="A29" s="427" t="s">
        <v>1276</v>
      </c>
      <c r="B29" s="427"/>
      <c r="C29" s="428" t="s">
        <v>1314</v>
      </c>
      <c r="D29" s="427" t="s">
        <v>1250</v>
      </c>
      <c r="E29" s="427" t="s">
        <v>1315</v>
      </c>
      <c r="F29" s="427" t="s">
        <v>1278</v>
      </c>
      <c r="G29" s="429" t="s">
        <v>75</v>
      </c>
      <c r="H29" s="428" t="s">
        <v>1294</v>
      </c>
      <c r="I29" s="428" t="s">
        <v>1316</v>
      </c>
      <c r="J29" s="766">
        <v>47.28</v>
      </c>
      <c r="K29" s="767"/>
    </row>
    <row r="30" spans="1:11" ht="22.5" x14ac:dyDescent="0.25">
      <c r="A30" s="427" t="s">
        <v>1276</v>
      </c>
      <c r="B30" s="427"/>
      <c r="C30" s="428" t="s">
        <v>1317</v>
      </c>
      <c r="D30" s="427" t="s">
        <v>1250</v>
      </c>
      <c r="E30" s="427" t="s">
        <v>1318</v>
      </c>
      <c r="F30" s="427" t="s">
        <v>1278</v>
      </c>
      <c r="G30" s="429" t="s">
        <v>75</v>
      </c>
      <c r="H30" s="428" t="s">
        <v>1319</v>
      </c>
      <c r="I30" s="428" t="s">
        <v>1320</v>
      </c>
      <c r="J30" s="766">
        <v>91.2</v>
      </c>
      <c r="K30" s="767"/>
    </row>
    <row r="31" spans="1:11" ht="22.5" x14ac:dyDescent="0.25">
      <c r="A31" s="427" t="s">
        <v>1276</v>
      </c>
      <c r="B31" s="427"/>
      <c r="C31" s="428" t="s">
        <v>1321</v>
      </c>
      <c r="D31" s="427" t="s">
        <v>1250</v>
      </c>
      <c r="E31" s="427" t="s">
        <v>1322</v>
      </c>
      <c r="F31" s="427" t="s">
        <v>1278</v>
      </c>
      <c r="G31" s="429" t="s">
        <v>75</v>
      </c>
      <c r="H31" s="428" t="s">
        <v>1323</v>
      </c>
      <c r="I31" s="428" t="s">
        <v>1324</v>
      </c>
      <c r="J31" s="766">
        <v>242.5</v>
      </c>
      <c r="K31" s="767"/>
    </row>
    <row r="32" spans="1:11" ht="22.5" x14ac:dyDescent="0.25">
      <c r="A32" s="427" t="s">
        <v>1276</v>
      </c>
      <c r="B32" s="427"/>
      <c r="C32" s="428" t="s">
        <v>1325</v>
      </c>
      <c r="D32" s="427" t="s">
        <v>1250</v>
      </c>
      <c r="E32" s="427" t="s">
        <v>1326</v>
      </c>
      <c r="F32" s="427" t="s">
        <v>1278</v>
      </c>
      <c r="G32" s="429" t="s">
        <v>52</v>
      </c>
      <c r="H32" s="428" t="s">
        <v>1319</v>
      </c>
      <c r="I32" s="428" t="s">
        <v>1327</v>
      </c>
      <c r="J32" s="766">
        <v>9.3000000000000007</v>
      </c>
      <c r="K32" s="767"/>
    </row>
    <row r="33" spans="1:11" ht="23.25" thickBot="1" x14ac:dyDescent="0.3">
      <c r="A33" s="313" t="s">
        <v>1276</v>
      </c>
      <c r="B33" s="313"/>
      <c r="C33" s="314" t="s">
        <v>1328</v>
      </c>
      <c r="D33" s="313" t="s">
        <v>1250</v>
      </c>
      <c r="E33" s="313" t="s">
        <v>1329</v>
      </c>
      <c r="F33" s="313" t="s">
        <v>1278</v>
      </c>
      <c r="G33" s="315" t="s">
        <v>52</v>
      </c>
      <c r="H33" s="314" t="s">
        <v>1262</v>
      </c>
      <c r="I33" s="314" t="s">
        <v>1330</v>
      </c>
      <c r="J33" s="768">
        <v>283.48</v>
      </c>
      <c r="K33" s="769"/>
    </row>
    <row r="34" spans="1:11" ht="18" customHeight="1" x14ac:dyDescent="0.2">
      <c r="A34" s="310"/>
      <c r="B34" s="310" t="s">
        <v>54</v>
      </c>
      <c r="C34" s="311" t="s">
        <v>1239</v>
      </c>
      <c r="D34" s="310" t="s">
        <v>1240</v>
      </c>
      <c r="E34" s="310" t="s">
        <v>1241</v>
      </c>
      <c r="F34" s="310" t="s">
        <v>1242</v>
      </c>
      <c r="G34" s="312" t="s">
        <v>60</v>
      </c>
      <c r="H34" s="311" t="s">
        <v>58</v>
      </c>
      <c r="I34" s="311" t="s">
        <v>1243</v>
      </c>
      <c r="J34" s="775" t="s">
        <v>196</v>
      </c>
      <c r="K34" s="776"/>
    </row>
    <row r="35" spans="1:11" ht="21.95" customHeight="1" x14ac:dyDescent="0.2">
      <c r="A35" s="275" t="s">
        <v>1244</v>
      </c>
      <c r="B35" s="275" t="s">
        <v>3942</v>
      </c>
      <c r="C35" s="276" t="s">
        <v>1639</v>
      </c>
      <c r="D35" s="275" t="s">
        <v>1246</v>
      </c>
      <c r="E35" s="275" t="s">
        <v>419</v>
      </c>
      <c r="F35" s="275" t="s">
        <v>1485</v>
      </c>
      <c r="G35" s="277" t="s">
        <v>77</v>
      </c>
      <c r="H35" s="276">
        <v>1</v>
      </c>
      <c r="I35" s="276" t="s">
        <v>1640</v>
      </c>
      <c r="J35" s="777" t="s">
        <v>1640</v>
      </c>
      <c r="K35" s="778"/>
    </row>
    <row r="36" spans="1:11" ht="21.95" customHeight="1" x14ac:dyDescent="0.2">
      <c r="A36" s="278" t="s">
        <v>1248</v>
      </c>
      <c r="B36" s="278"/>
      <c r="C36" s="279" t="s">
        <v>1273</v>
      </c>
      <c r="D36" s="278" t="s">
        <v>1250</v>
      </c>
      <c r="E36" s="278" t="s">
        <v>1274</v>
      </c>
      <c r="F36" s="278" t="s">
        <v>1252</v>
      </c>
      <c r="G36" s="280" t="s">
        <v>1253</v>
      </c>
      <c r="H36" s="279" t="s">
        <v>1641</v>
      </c>
      <c r="I36" s="279" t="s">
        <v>1275</v>
      </c>
      <c r="J36" s="781">
        <v>1.33</v>
      </c>
      <c r="K36" s="782"/>
    </row>
    <row r="37" spans="1:11" ht="21.95" customHeight="1" x14ac:dyDescent="0.2">
      <c r="A37" s="278" t="s">
        <v>1248</v>
      </c>
      <c r="B37" s="278"/>
      <c r="C37" s="279" t="s">
        <v>1337</v>
      </c>
      <c r="D37" s="278" t="s">
        <v>1250</v>
      </c>
      <c r="E37" s="278" t="s">
        <v>1338</v>
      </c>
      <c r="F37" s="278" t="s">
        <v>1252</v>
      </c>
      <c r="G37" s="280" t="s">
        <v>1253</v>
      </c>
      <c r="H37" s="279" t="s">
        <v>1642</v>
      </c>
      <c r="I37" s="279" t="s">
        <v>1340</v>
      </c>
      <c r="J37" s="781">
        <v>1.39</v>
      </c>
      <c r="K37" s="782"/>
    </row>
    <row r="38" spans="1:11" ht="33" customHeight="1" x14ac:dyDescent="0.2">
      <c r="A38" s="278" t="s">
        <v>1248</v>
      </c>
      <c r="B38" s="278"/>
      <c r="C38" s="279" t="s">
        <v>1643</v>
      </c>
      <c r="D38" s="278" t="s">
        <v>1250</v>
      </c>
      <c r="E38" s="278" t="s">
        <v>1644</v>
      </c>
      <c r="F38" s="278" t="s">
        <v>1481</v>
      </c>
      <c r="G38" s="280" t="s">
        <v>1482</v>
      </c>
      <c r="H38" s="279" t="s">
        <v>1645</v>
      </c>
      <c r="I38" s="279" t="s">
        <v>1646</v>
      </c>
      <c r="J38" s="781">
        <v>0.19</v>
      </c>
      <c r="K38" s="782"/>
    </row>
    <row r="39" spans="1:11" ht="33" customHeight="1" x14ac:dyDescent="0.2">
      <c r="A39" s="278" t="s">
        <v>1248</v>
      </c>
      <c r="B39" s="278"/>
      <c r="C39" s="279" t="s">
        <v>1647</v>
      </c>
      <c r="D39" s="278" t="s">
        <v>1250</v>
      </c>
      <c r="E39" s="278" t="s">
        <v>1648</v>
      </c>
      <c r="F39" s="278" t="s">
        <v>1481</v>
      </c>
      <c r="G39" s="280" t="s">
        <v>1649</v>
      </c>
      <c r="H39" s="279" t="s">
        <v>1650</v>
      </c>
      <c r="I39" s="279" t="s">
        <v>1651</v>
      </c>
      <c r="J39" s="781">
        <v>7.0000000000000007E-2</v>
      </c>
      <c r="K39" s="782"/>
    </row>
    <row r="40" spans="1:11" ht="21.95" customHeight="1" x14ac:dyDescent="0.2">
      <c r="A40" s="282" t="s">
        <v>1276</v>
      </c>
      <c r="B40" s="282"/>
      <c r="C40" s="283" t="s">
        <v>1652</v>
      </c>
      <c r="D40" s="282" t="s">
        <v>1250</v>
      </c>
      <c r="E40" s="282" t="s">
        <v>1653</v>
      </c>
      <c r="F40" s="282" t="s">
        <v>1278</v>
      </c>
      <c r="G40" s="284" t="s">
        <v>77</v>
      </c>
      <c r="H40" s="283" t="s">
        <v>1532</v>
      </c>
      <c r="I40" s="283" t="s">
        <v>1654</v>
      </c>
      <c r="J40" s="779">
        <v>31.27</v>
      </c>
      <c r="K40" s="780"/>
    </row>
    <row r="41" spans="1:11" ht="33" customHeight="1" thickBot="1" x14ac:dyDescent="0.25">
      <c r="A41" s="282" t="s">
        <v>1276</v>
      </c>
      <c r="B41" s="282"/>
      <c r="C41" s="283" t="s">
        <v>1655</v>
      </c>
      <c r="D41" s="282" t="s">
        <v>1250</v>
      </c>
      <c r="E41" s="282" t="s">
        <v>1656</v>
      </c>
      <c r="F41" s="282" t="s">
        <v>1278</v>
      </c>
      <c r="G41" s="284" t="s">
        <v>152</v>
      </c>
      <c r="H41" s="283" t="s">
        <v>1657</v>
      </c>
      <c r="I41" s="283" t="s">
        <v>1658</v>
      </c>
      <c r="J41" s="770">
        <v>4.3099999999999996</v>
      </c>
      <c r="K41" s="771"/>
    </row>
    <row r="42" spans="1:11" ht="0.95" customHeight="1" thickTop="1" x14ac:dyDescent="0.2">
      <c r="A42" s="281"/>
      <c r="B42" s="281"/>
      <c r="C42" s="281"/>
      <c r="D42" s="281"/>
      <c r="E42" s="281"/>
      <c r="F42" s="281"/>
      <c r="G42" s="281"/>
      <c r="H42" s="281"/>
      <c r="I42" s="281"/>
      <c r="J42" s="421"/>
      <c r="K42" s="421"/>
    </row>
    <row r="43" spans="1:11" ht="18" customHeight="1" x14ac:dyDescent="0.2">
      <c r="A43" s="272"/>
      <c r="B43" s="272" t="s">
        <v>54</v>
      </c>
      <c r="C43" s="273" t="s">
        <v>1239</v>
      </c>
      <c r="D43" s="272" t="s">
        <v>1240</v>
      </c>
      <c r="E43" s="272" t="s">
        <v>1241</v>
      </c>
      <c r="F43" s="272" t="s">
        <v>1242</v>
      </c>
      <c r="G43" s="274" t="s">
        <v>60</v>
      </c>
      <c r="H43" s="273" t="s">
        <v>58</v>
      </c>
      <c r="I43" s="273" t="s">
        <v>1243</v>
      </c>
      <c r="J43" s="775" t="s">
        <v>196</v>
      </c>
      <c r="K43" s="776"/>
    </row>
    <row r="44" spans="1:11" ht="44.1" customHeight="1" x14ac:dyDescent="0.2">
      <c r="A44" s="275" t="s">
        <v>1244</v>
      </c>
      <c r="B44" s="275" t="s">
        <v>3943</v>
      </c>
      <c r="C44" s="276" t="s">
        <v>1502</v>
      </c>
      <c r="D44" s="275" t="s">
        <v>1246</v>
      </c>
      <c r="E44" s="275" t="s">
        <v>337</v>
      </c>
      <c r="F44" s="275" t="s">
        <v>1353</v>
      </c>
      <c r="G44" s="277" t="s">
        <v>52</v>
      </c>
      <c r="H44" s="276">
        <v>1</v>
      </c>
      <c r="I44" s="276" t="s">
        <v>1503</v>
      </c>
      <c r="J44" s="777" t="s">
        <v>1503</v>
      </c>
      <c r="K44" s="778"/>
    </row>
    <row r="45" spans="1:11" ht="21.95" customHeight="1" x14ac:dyDescent="0.2">
      <c r="A45" s="278" t="s">
        <v>1248</v>
      </c>
      <c r="B45" s="278"/>
      <c r="C45" s="279" t="s">
        <v>1269</v>
      </c>
      <c r="D45" s="278" t="s">
        <v>1250</v>
      </c>
      <c r="E45" s="278" t="s">
        <v>1270</v>
      </c>
      <c r="F45" s="278" t="s">
        <v>1252</v>
      </c>
      <c r="G45" s="280" t="s">
        <v>1253</v>
      </c>
      <c r="H45" s="279" t="s">
        <v>1504</v>
      </c>
      <c r="I45" s="279" t="s">
        <v>1272</v>
      </c>
      <c r="J45" s="781">
        <v>59.13</v>
      </c>
      <c r="K45" s="782"/>
    </row>
    <row r="46" spans="1:11" ht="21.95" customHeight="1" x14ac:dyDescent="0.2">
      <c r="A46" s="278" t="s">
        <v>1248</v>
      </c>
      <c r="B46" s="278"/>
      <c r="C46" s="279" t="s">
        <v>1273</v>
      </c>
      <c r="D46" s="278" t="s">
        <v>1250</v>
      </c>
      <c r="E46" s="278" t="s">
        <v>1274</v>
      </c>
      <c r="F46" s="278" t="s">
        <v>1252</v>
      </c>
      <c r="G46" s="280" t="s">
        <v>1253</v>
      </c>
      <c r="H46" s="279" t="s">
        <v>1505</v>
      </c>
      <c r="I46" s="279" t="s">
        <v>1275</v>
      </c>
      <c r="J46" s="781">
        <v>24.02</v>
      </c>
      <c r="K46" s="782"/>
    </row>
    <row r="47" spans="1:11" ht="21.95" customHeight="1" x14ac:dyDescent="0.2">
      <c r="A47" s="278" t="s">
        <v>1248</v>
      </c>
      <c r="B47" s="278"/>
      <c r="C47" s="279" t="s">
        <v>1492</v>
      </c>
      <c r="D47" s="278" t="s">
        <v>1250</v>
      </c>
      <c r="E47" s="278" t="s">
        <v>1493</v>
      </c>
      <c r="F47" s="278" t="s">
        <v>1252</v>
      </c>
      <c r="G47" s="280" t="s">
        <v>153</v>
      </c>
      <c r="H47" s="279" t="s">
        <v>1347</v>
      </c>
      <c r="I47" s="279" t="s">
        <v>1495</v>
      </c>
      <c r="J47" s="781">
        <v>15.77</v>
      </c>
      <c r="K47" s="782"/>
    </row>
    <row r="48" spans="1:11" ht="21.95" customHeight="1" thickBot="1" x14ac:dyDescent="0.25">
      <c r="A48" s="282" t="s">
        <v>1276</v>
      </c>
      <c r="B48" s="282"/>
      <c r="C48" s="283" t="s">
        <v>1506</v>
      </c>
      <c r="D48" s="282" t="s">
        <v>1246</v>
      </c>
      <c r="E48" s="282" t="s">
        <v>769</v>
      </c>
      <c r="F48" s="282" t="s">
        <v>1278</v>
      </c>
      <c r="G48" s="284" t="s">
        <v>52</v>
      </c>
      <c r="H48" s="283" t="s">
        <v>1262</v>
      </c>
      <c r="I48" s="283" t="s">
        <v>1507</v>
      </c>
      <c r="J48" s="770">
        <v>1100</v>
      </c>
      <c r="K48" s="771"/>
    </row>
    <row r="49" spans="1:11" ht="0.95" customHeight="1" thickTop="1" x14ac:dyDescent="0.2">
      <c r="A49" s="281"/>
      <c r="B49" s="281"/>
      <c r="C49" s="281"/>
      <c r="D49" s="281"/>
      <c r="E49" s="281"/>
      <c r="F49" s="281"/>
      <c r="G49" s="281"/>
      <c r="H49" s="281"/>
      <c r="I49" s="281"/>
      <c r="J49" s="421"/>
      <c r="K49" s="421"/>
    </row>
    <row r="50" spans="1:11" ht="18" customHeight="1" x14ac:dyDescent="0.2">
      <c r="A50" s="272"/>
      <c r="B50" s="272" t="s">
        <v>54</v>
      </c>
      <c r="C50" s="273" t="s">
        <v>1239</v>
      </c>
      <c r="D50" s="272" t="s">
        <v>1240</v>
      </c>
      <c r="E50" s="272" t="s">
        <v>1241</v>
      </c>
      <c r="F50" s="272" t="s">
        <v>1242</v>
      </c>
      <c r="G50" s="274" t="s">
        <v>60</v>
      </c>
      <c r="H50" s="273" t="s">
        <v>58</v>
      </c>
      <c r="I50" s="273" t="s">
        <v>1243</v>
      </c>
      <c r="J50" s="775" t="s">
        <v>196</v>
      </c>
      <c r="K50" s="776"/>
    </row>
    <row r="51" spans="1:11" ht="44.1" customHeight="1" x14ac:dyDescent="0.2">
      <c r="A51" s="275" t="s">
        <v>1244</v>
      </c>
      <c r="B51" s="275" t="s">
        <v>3944</v>
      </c>
      <c r="C51" s="276" t="s">
        <v>1489</v>
      </c>
      <c r="D51" s="275" t="s">
        <v>1246</v>
      </c>
      <c r="E51" s="275" t="s">
        <v>335</v>
      </c>
      <c r="F51" s="275" t="s">
        <v>1353</v>
      </c>
      <c r="G51" s="277" t="s">
        <v>52</v>
      </c>
      <c r="H51" s="276">
        <v>1</v>
      </c>
      <c r="I51" s="276" t="s">
        <v>1490</v>
      </c>
      <c r="J51" s="777" t="s">
        <v>1490</v>
      </c>
      <c r="K51" s="778"/>
    </row>
    <row r="52" spans="1:11" ht="21.95" customHeight="1" x14ac:dyDescent="0.2">
      <c r="A52" s="278" t="s">
        <v>1248</v>
      </c>
      <c r="B52" s="278"/>
      <c r="C52" s="279" t="s">
        <v>1269</v>
      </c>
      <c r="D52" s="278" t="s">
        <v>1250</v>
      </c>
      <c r="E52" s="278" t="s">
        <v>1270</v>
      </c>
      <c r="F52" s="278" t="s">
        <v>1252</v>
      </c>
      <c r="G52" s="280" t="s">
        <v>1253</v>
      </c>
      <c r="H52" s="279" t="s">
        <v>1491</v>
      </c>
      <c r="I52" s="279" t="s">
        <v>1272</v>
      </c>
      <c r="J52" s="781">
        <v>64.599999999999994</v>
      </c>
      <c r="K52" s="782"/>
    </row>
    <row r="53" spans="1:11" ht="21.95" customHeight="1" x14ac:dyDescent="0.2">
      <c r="A53" s="278" t="s">
        <v>1248</v>
      </c>
      <c r="B53" s="278"/>
      <c r="C53" s="279" t="s">
        <v>1273</v>
      </c>
      <c r="D53" s="278" t="s">
        <v>1250</v>
      </c>
      <c r="E53" s="278" t="s">
        <v>1274</v>
      </c>
      <c r="F53" s="278" t="s">
        <v>1252</v>
      </c>
      <c r="G53" s="280" t="s">
        <v>1253</v>
      </c>
      <c r="H53" s="279" t="s">
        <v>1491</v>
      </c>
      <c r="I53" s="279" t="s">
        <v>1275</v>
      </c>
      <c r="J53" s="781">
        <v>52.5</v>
      </c>
      <c r="K53" s="782"/>
    </row>
    <row r="54" spans="1:11" ht="21.95" customHeight="1" x14ac:dyDescent="0.2">
      <c r="A54" s="278" t="s">
        <v>1248</v>
      </c>
      <c r="B54" s="278"/>
      <c r="C54" s="279" t="s">
        <v>1492</v>
      </c>
      <c r="D54" s="278" t="s">
        <v>1250</v>
      </c>
      <c r="E54" s="278" t="s">
        <v>1493</v>
      </c>
      <c r="F54" s="278" t="s">
        <v>1252</v>
      </c>
      <c r="G54" s="280" t="s">
        <v>153</v>
      </c>
      <c r="H54" s="279" t="s">
        <v>1494</v>
      </c>
      <c r="I54" s="279" t="s">
        <v>1495</v>
      </c>
      <c r="J54" s="781">
        <v>35.479999999999997</v>
      </c>
      <c r="K54" s="782"/>
    </row>
    <row r="55" spans="1:11" ht="21.95" customHeight="1" x14ac:dyDescent="0.2">
      <c r="A55" s="278" t="s">
        <v>1248</v>
      </c>
      <c r="B55" s="278"/>
      <c r="C55" s="279" t="s">
        <v>1496</v>
      </c>
      <c r="D55" s="278" t="s">
        <v>1250</v>
      </c>
      <c r="E55" s="278" t="s">
        <v>1497</v>
      </c>
      <c r="F55" s="278" t="s">
        <v>1353</v>
      </c>
      <c r="G55" s="280" t="s">
        <v>77</v>
      </c>
      <c r="H55" s="279" t="s">
        <v>1498</v>
      </c>
      <c r="I55" s="279" t="s">
        <v>1499</v>
      </c>
      <c r="J55" s="781">
        <v>78.73</v>
      </c>
      <c r="K55" s="782"/>
    </row>
    <row r="56" spans="1:11" ht="21.95" customHeight="1" thickBot="1" x14ac:dyDescent="0.25">
      <c r="A56" s="282" t="s">
        <v>1276</v>
      </c>
      <c r="B56" s="282"/>
      <c r="C56" s="283" t="s">
        <v>1500</v>
      </c>
      <c r="D56" s="282" t="s">
        <v>1246</v>
      </c>
      <c r="E56" s="282" t="s">
        <v>780</v>
      </c>
      <c r="F56" s="282" t="s">
        <v>1278</v>
      </c>
      <c r="G56" s="284" t="s">
        <v>52</v>
      </c>
      <c r="H56" s="283" t="s">
        <v>1262</v>
      </c>
      <c r="I56" s="283" t="s">
        <v>1501</v>
      </c>
      <c r="J56" s="770">
        <v>1350</v>
      </c>
      <c r="K56" s="771"/>
    </row>
    <row r="57" spans="1:11" ht="0.95" customHeight="1" thickTop="1" x14ac:dyDescent="0.2">
      <c r="A57" s="281"/>
      <c r="B57" s="281"/>
      <c r="C57" s="281"/>
      <c r="D57" s="281"/>
      <c r="E57" s="281"/>
      <c r="F57" s="281"/>
      <c r="G57" s="281"/>
      <c r="H57" s="281"/>
      <c r="I57" s="281"/>
      <c r="J57" s="421"/>
      <c r="K57" s="421"/>
    </row>
    <row r="58" spans="1:11" ht="18" customHeight="1" x14ac:dyDescent="0.2">
      <c r="A58" s="272"/>
      <c r="B58" s="272" t="s">
        <v>54</v>
      </c>
      <c r="C58" s="273" t="s">
        <v>1239</v>
      </c>
      <c r="D58" s="272" t="s">
        <v>1240</v>
      </c>
      <c r="E58" s="272" t="s">
        <v>1241</v>
      </c>
      <c r="F58" s="272" t="s">
        <v>1242</v>
      </c>
      <c r="G58" s="274" t="s">
        <v>60</v>
      </c>
      <c r="H58" s="273" t="s">
        <v>58</v>
      </c>
      <c r="I58" s="273" t="s">
        <v>1243</v>
      </c>
      <c r="J58" s="775" t="s">
        <v>196</v>
      </c>
      <c r="K58" s="776"/>
    </row>
    <row r="59" spans="1:11" ht="44.1" customHeight="1" x14ac:dyDescent="0.2">
      <c r="A59" s="275" t="s">
        <v>1244</v>
      </c>
      <c r="B59" s="275" t="s">
        <v>3945</v>
      </c>
      <c r="C59" s="276" t="s">
        <v>1502</v>
      </c>
      <c r="D59" s="275" t="s">
        <v>1246</v>
      </c>
      <c r="E59" s="275" t="s">
        <v>337</v>
      </c>
      <c r="F59" s="275" t="s">
        <v>1353</v>
      </c>
      <c r="G59" s="277" t="s">
        <v>52</v>
      </c>
      <c r="H59" s="276">
        <v>1</v>
      </c>
      <c r="I59" s="276" t="s">
        <v>1503</v>
      </c>
      <c r="J59" s="777" t="s">
        <v>1503</v>
      </c>
      <c r="K59" s="778"/>
    </row>
    <row r="60" spans="1:11" ht="21.95" customHeight="1" x14ac:dyDescent="0.2">
      <c r="A60" s="278" t="s">
        <v>1248</v>
      </c>
      <c r="B60" s="278"/>
      <c r="C60" s="279" t="s">
        <v>1269</v>
      </c>
      <c r="D60" s="278" t="s">
        <v>1250</v>
      </c>
      <c r="E60" s="278" t="s">
        <v>1270</v>
      </c>
      <c r="F60" s="278" t="s">
        <v>1252</v>
      </c>
      <c r="G60" s="280" t="s">
        <v>1253</v>
      </c>
      <c r="H60" s="279" t="s">
        <v>1504</v>
      </c>
      <c r="I60" s="279" t="s">
        <v>1272</v>
      </c>
      <c r="J60" s="781">
        <v>59.13</v>
      </c>
      <c r="K60" s="782"/>
    </row>
    <row r="61" spans="1:11" ht="21.95" customHeight="1" x14ac:dyDescent="0.2">
      <c r="A61" s="278" t="s">
        <v>1248</v>
      </c>
      <c r="B61" s="278"/>
      <c r="C61" s="279" t="s">
        <v>1273</v>
      </c>
      <c r="D61" s="278" t="s">
        <v>1250</v>
      </c>
      <c r="E61" s="278" t="s">
        <v>1274</v>
      </c>
      <c r="F61" s="278" t="s">
        <v>1252</v>
      </c>
      <c r="G61" s="280" t="s">
        <v>1253</v>
      </c>
      <c r="H61" s="279" t="s">
        <v>1505</v>
      </c>
      <c r="I61" s="279" t="s">
        <v>1275</v>
      </c>
      <c r="J61" s="781">
        <v>24.02</v>
      </c>
      <c r="K61" s="782"/>
    </row>
    <row r="62" spans="1:11" ht="21.95" customHeight="1" x14ac:dyDescent="0.2">
      <c r="A62" s="278" t="s">
        <v>1248</v>
      </c>
      <c r="B62" s="278"/>
      <c r="C62" s="279" t="s">
        <v>1492</v>
      </c>
      <c r="D62" s="278" t="s">
        <v>1250</v>
      </c>
      <c r="E62" s="278" t="s">
        <v>1493</v>
      </c>
      <c r="F62" s="278" t="s">
        <v>1252</v>
      </c>
      <c r="G62" s="280" t="s">
        <v>153</v>
      </c>
      <c r="H62" s="279" t="s">
        <v>1347</v>
      </c>
      <c r="I62" s="279" t="s">
        <v>1495</v>
      </c>
      <c r="J62" s="781">
        <v>15.77</v>
      </c>
      <c r="K62" s="782"/>
    </row>
    <row r="63" spans="1:11" ht="21.95" customHeight="1" thickBot="1" x14ac:dyDescent="0.25">
      <c r="A63" s="282" t="s">
        <v>1276</v>
      </c>
      <c r="B63" s="282"/>
      <c r="C63" s="283" t="s">
        <v>1506</v>
      </c>
      <c r="D63" s="282" t="s">
        <v>1246</v>
      </c>
      <c r="E63" s="282" t="s">
        <v>769</v>
      </c>
      <c r="F63" s="282" t="s">
        <v>1278</v>
      </c>
      <c r="G63" s="284" t="s">
        <v>52</v>
      </c>
      <c r="H63" s="283" t="s">
        <v>1262</v>
      </c>
      <c r="I63" s="283" t="s">
        <v>1507</v>
      </c>
      <c r="J63" s="770">
        <v>1100</v>
      </c>
      <c r="K63" s="771"/>
    </row>
    <row r="64" spans="1:11" ht="0.95" customHeight="1" thickTop="1" x14ac:dyDescent="0.2">
      <c r="A64" s="281"/>
      <c r="B64" s="281"/>
      <c r="C64" s="281"/>
      <c r="D64" s="281"/>
      <c r="E64" s="281"/>
      <c r="F64" s="281"/>
      <c r="G64" s="281"/>
      <c r="H64" s="281"/>
      <c r="I64" s="281"/>
      <c r="J64" s="421"/>
      <c r="K64" s="421"/>
    </row>
    <row r="65" spans="1:11" ht="18" customHeight="1" x14ac:dyDescent="0.2">
      <c r="A65" s="272"/>
      <c r="B65" s="272" t="s">
        <v>54</v>
      </c>
      <c r="C65" s="273" t="s">
        <v>1239</v>
      </c>
      <c r="D65" s="272" t="s">
        <v>1240</v>
      </c>
      <c r="E65" s="272" t="s">
        <v>1241</v>
      </c>
      <c r="F65" s="272" t="s">
        <v>1242</v>
      </c>
      <c r="G65" s="274" t="s">
        <v>60</v>
      </c>
      <c r="H65" s="273" t="s">
        <v>58</v>
      </c>
      <c r="I65" s="273" t="s">
        <v>1243</v>
      </c>
      <c r="J65" s="775" t="s">
        <v>196</v>
      </c>
      <c r="K65" s="776"/>
    </row>
    <row r="66" spans="1:11" ht="21.95" customHeight="1" x14ac:dyDescent="0.2">
      <c r="A66" s="275" t="s">
        <v>1244</v>
      </c>
      <c r="B66" s="275" t="s">
        <v>3946</v>
      </c>
      <c r="C66" s="276" t="s">
        <v>3947</v>
      </c>
      <c r="D66" s="275" t="s">
        <v>1246</v>
      </c>
      <c r="E66" s="275" t="s">
        <v>2708</v>
      </c>
      <c r="F66" s="275" t="s">
        <v>1353</v>
      </c>
      <c r="G66" s="277" t="s">
        <v>52</v>
      </c>
      <c r="H66" s="276">
        <v>1</v>
      </c>
      <c r="I66" s="276" t="s">
        <v>3948</v>
      </c>
      <c r="J66" s="777" t="s">
        <v>3948</v>
      </c>
      <c r="K66" s="778"/>
    </row>
    <row r="67" spans="1:11" ht="21.95" customHeight="1" x14ac:dyDescent="0.2">
      <c r="A67" s="278" t="s">
        <v>1248</v>
      </c>
      <c r="B67" s="278"/>
      <c r="C67" s="279" t="s">
        <v>3949</v>
      </c>
      <c r="D67" s="278" t="s">
        <v>1250</v>
      </c>
      <c r="E67" s="278" t="s">
        <v>3950</v>
      </c>
      <c r="F67" s="278" t="s">
        <v>1252</v>
      </c>
      <c r="G67" s="280" t="s">
        <v>1253</v>
      </c>
      <c r="H67" s="279" t="s">
        <v>1356</v>
      </c>
      <c r="I67" s="279" t="s">
        <v>3951</v>
      </c>
      <c r="J67" s="781">
        <v>4.59</v>
      </c>
      <c r="K67" s="782"/>
    </row>
    <row r="68" spans="1:11" ht="44.1" customHeight="1" x14ac:dyDescent="0.2">
      <c r="A68" s="282" t="s">
        <v>1276</v>
      </c>
      <c r="B68" s="282"/>
      <c r="C68" s="283" t="s">
        <v>3952</v>
      </c>
      <c r="D68" s="282" t="s">
        <v>1250</v>
      </c>
      <c r="E68" s="282" t="s">
        <v>3953</v>
      </c>
      <c r="F68" s="282" t="s">
        <v>1278</v>
      </c>
      <c r="G68" s="284" t="s">
        <v>152</v>
      </c>
      <c r="H68" s="283" t="s">
        <v>1262</v>
      </c>
      <c r="I68" s="283" t="s">
        <v>3954</v>
      </c>
      <c r="J68" s="779">
        <v>331.68</v>
      </c>
      <c r="K68" s="780"/>
    </row>
    <row r="69" spans="1:11" ht="21.95" customHeight="1" x14ac:dyDescent="0.2">
      <c r="A69" s="282" t="s">
        <v>1276</v>
      </c>
      <c r="B69" s="282"/>
      <c r="C69" s="283" t="s">
        <v>3955</v>
      </c>
      <c r="D69" s="282" t="s">
        <v>1250</v>
      </c>
      <c r="E69" s="282" t="s">
        <v>3956</v>
      </c>
      <c r="F69" s="282" t="s">
        <v>1278</v>
      </c>
      <c r="G69" s="284" t="s">
        <v>77</v>
      </c>
      <c r="H69" s="283" t="s">
        <v>1732</v>
      </c>
      <c r="I69" s="283" t="s">
        <v>3957</v>
      </c>
      <c r="J69" s="779">
        <v>407.71</v>
      </c>
      <c r="K69" s="780"/>
    </row>
    <row r="70" spans="1:11" ht="21.95" customHeight="1" x14ac:dyDescent="0.2">
      <c r="A70" s="282" t="s">
        <v>1276</v>
      </c>
      <c r="B70" s="282"/>
      <c r="C70" s="283" t="s">
        <v>3958</v>
      </c>
      <c r="D70" s="282" t="s">
        <v>1250</v>
      </c>
      <c r="E70" s="282" t="s">
        <v>3959</v>
      </c>
      <c r="F70" s="282" t="s">
        <v>1278</v>
      </c>
      <c r="G70" s="284" t="s">
        <v>52</v>
      </c>
      <c r="H70" s="283" t="s">
        <v>1262</v>
      </c>
      <c r="I70" s="283" t="s">
        <v>3960</v>
      </c>
      <c r="J70" s="779">
        <v>989.78</v>
      </c>
      <c r="K70" s="780"/>
    </row>
    <row r="71" spans="1:11" ht="44.1" customHeight="1" thickBot="1" x14ac:dyDescent="0.25">
      <c r="A71" s="282" t="s">
        <v>1276</v>
      </c>
      <c r="B71" s="282"/>
      <c r="C71" s="283" t="s">
        <v>3961</v>
      </c>
      <c r="D71" s="282" t="s">
        <v>1250</v>
      </c>
      <c r="E71" s="282" t="s">
        <v>3962</v>
      </c>
      <c r="F71" s="282" t="s">
        <v>1278</v>
      </c>
      <c r="G71" s="284" t="s">
        <v>52</v>
      </c>
      <c r="H71" s="283" t="s">
        <v>1262</v>
      </c>
      <c r="I71" s="283" t="s">
        <v>3963</v>
      </c>
      <c r="J71" s="770">
        <v>12.26</v>
      </c>
      <c r="K71" s="771"/>
    </row>
    <row r="72" spans="1:11" ht="0.95" customHeight="1" thickTop="1" x14ac:dyDescent="0.2">
      <c r="A72" s="281"/>
      <c r="B72" s="281"/>
      <c r="C72" s="281"/>
      <c r="D72" s="281"/>
      <c r="E72" s="281"/>
      <c r="F72" s="281"/>
      <c r="G72" s="281"/>
      <c r="H72" s="281"/>
      <c r="I72" s="281"/>
      <c r="J72" s="421"/>
      <c r="K72" s="421"/>
    </row>
    <row r="73" spans="1:11" ht="18" customHeight="1" x14ac:dyDescent="0.2">
      <c r="A73" s="272"/>
      <c r="B73" s="272" t="s">
        <v>54</v>
      </c>
      <c r="C73" s="273" t="s">
        <v>1239</v>
      </c>
      <c r="D73" s="272" t="s">
        <v>1240</v>
      </c>
      <c r="E73" s="272" t="s">
        <v>1241</v>
      </c>
      <c r="F73" s="272" t="s">
        <v>1242</v>
      </c>
      <c r="G73" s="274" t="s">
        <v>60</v>
      </c>
      <c r="H73" s="273" t="s">
        <v>58</v>
      </c>
      <c r="I73" s="273" t="s">
        <v>1243</v>
      </c>
      <c r="J73" s="775" t="s">
        <v>196</v>
      </c>
      <c r="K73" s="776"/>
    </row>
    <row r="74" spans="1:11" ht="21.95" customHeight="1" x14ac:dyDescent="0.2">
      <c r="A74" s="275" t="s">
        <v>1244</v>
      </c>
      <c r="B74" s="275" t="s">
        <v>3964</v>
      </c>
      <c r="C74" s="276" t="s">
        <v>3965</v>
      </c>
      <c r="D74" s="275" t="s">
        <v>1246</v>
      </c>
      <c r="E74" s="275" t="s">
        <v>2710</v>
      </c>
      <c r="F74" s="275" t="s">
        <v>1353</v>
      </c>
      <c r="G74" s="277" t="s">
        <v>52</v>
      </c>
      <c r="H74" s="276">
        <v>1</v>
      </c>
      <c r="I74" s="276" t="s">
        <v>3966</v>
      </c>
      <c r="J74" s="777" t="s">
        <v>3966</v>
      </c>
      <c r="K74" s="778"/>
    </row>
    <row r="75" spans="1:11" ht="21.95" customHeight="1" x14ac:dyDescent="0.2">
      <c r="A75" s="278" t="s">
        <v>1248</v>
      </c>
      <c r="B75" s="278"/>
      <c r="C75" s="279" t="s">
        <v>3949</v>
      </c>
      <c r="D75" s="278" t="s">
        <v>1250</v>
      </c>
      <c r="E75" s="278" t="s">
        <v>3950</v>
      </c>
      <c r="F75" s="278" t="s">
        <v>1252</v>
      </c>
      <c r="G75" s="280" t="s">
        <v>1253</v>
      </c>
      <c r="H75" s="279" t="s">
        <v>1271</v>
      </c>
      <c r="I75" s="279" t="s">
        <v>3951</v>
      </c>
      <c r="J75" s="781">
        <v>9.19</v>
      </c>
      <c r="K75" s="782"/>
    </row>
    <row r="76" spans="1:11" ht="44.1" customHeight="1" x14ac:dyDescent="0.2">
      <c r="A76" s="282" t="s">
        <v>1276</v>
      </c>
      <c r="B76" s="282"/>
      <c r="C76" s="283" t="s">
        <v>3952</v>
      </c>
      <c r="D76" s="282" t="s">
        <v>1250</v>
      </c>
      <c r="E76" s="282" t="s">
        <v>3953</v>
      </c>
      <c r="F76" s="282" t="s">
        <v>1278</v>
      </c>
      <c r="G76" s="284" t="s">
        <v>152</v>
      </c>
      <c r="H76" s="283" t="s">
        <v>1417</v>
      </c>
      <c r="I76" s="283" t="s">
        <v>3954</v>
      </c>
      <c r="J76" s="779">
        <v>663.36</v>
      </c>
      <c r="K76" s="780"/>
    </row>
    <row r="77" spans="1:11" ht="21.95" customHeight="1" x14ac:dyDescent="0.2">
      <c r="A77" s="282" t="s">
        <v>1276</v>
      </c>
      <c r="B77" s="282"/>
      <c r="C77" s="283" t="s">
        <v>3955</v>
      </c>
      <c r="D77" s="282" t="s">
        <v>1250</v>
      </c>
      <c r="E77" s="282" t="s">
        <v>3956</v>
      </c>
      <c r="F77" s="282" t="s">
        <v>1278</v>
      </c>
      <c r="G77" s="284" t="s">
        <v>77</v>
      </c>
      <c r="H77" s="283" t="s">
        <v>3967</v>
      </c>
      <c r="I77" s="283" t="s">
        <v>3957</v>
      </c>
      <c r="J77" s="779">
        <v>815.43</v>
      </c>
      <c r="K77" s="780"/>
    </row>
    <row r="78" spans="1:11" ht="44.1" customHeight="1" x14ac:dyDescent="0.2">
      <c r="A78" s="282" t="s">
        <v>1276</v>
      </c>
      <c r="B78" s="282"/>
      <c r="C78" s="283" t="s">
        <v>3961</v>
      </c>
      <c r="D78" s="282" t="s">
        <v>1250</v>
      </c>
      <c r="E78" s="282" t="s">
        <v>3962</v>
      </c>
      <c r="F78" s="282" t="s">
        <v>1278</v>
      </c>
      <c r="G78" s="284" t="s">
        <v>52</v>
      </c>
      <c r="H78" s="283" t="s">
        <v>1417</v>
      </c>
      <c r="I78" s="283" t="s">
        <v>3963</v>
      </c>
      <c r="J78" s="779">
        <v>24.52</v>
      </c>
      <c r="K78" s="780"/>
    </row>
    <row r="79" spans="1:11" ht="21.95" customHeight="1" thickBot="1" x14ac:dyDescent="0.25">
      <c r="A79" s="282" t="s">
        <v>1276</v>
      </c>
      <c r="B79" s="282"/>
      <c r="C79" s="283" t="s">
        <v>3958</v>
      </c>
      <c r="D79" s="282" t="s">
        <v>1250</v>
      </c>
      <c r="E79" s="282" t="s">
        <v>3959</v>
      </c>
      <c r="F79" s="282" t="s">
        <v>1278</v>
      </c>
      <c r="G79" s="284" t="s">
        <v>52</v>
      </c>
      <c r="H79" s="283" t="s">
        <v>1417</v>
      </c>
      <c r="I79" s="283" t="s">
        <v>3960</v>
      </c>
      <c r="J79" s="770">
        <v>1979.56</v>
      </c>
      <c r="K79" s="771"/>
    </row>
    <row r="80" spans="1:11" ht="0.95" customHeight="1" thickTop="1" x14ac:dyDescent="0.2">
      <c r="A80" s="281"/>
      <c r="B80" s="281"/>
      <c r="C80" s="281"/>
      <c r="D80" s="281"/>
      <c r="E80" s="281"/>
      <c r="F80" s="281"/>
      <c r="G80" s="281"/>
      <c r="H80" s="281"/>
      <c r="I80" s="281"/>
      <c r="J80" s="421"/>
      <c r="K80" s="421"/>
    </row>
    <row r="81" spans="1:11" ht="18" customHeight="1" x14ac:dyDescent="0.2">
      <c r="A81" s="272"/>
      <c r="B81" s="272" t="s">
        <v>54</v>
      </c>
      <c r="C81" s="273" t="s">
        <v>1239</v>
      </c>
      <c r="D81" s="272" t="s">
        <v>1240</v>
      </c>
      <c r="E81" s="272" t="s">
        <v>1241</v>
      </c>
      <c r="F81" s="272" t="s">
        <v>1242</v>
      </c>
      <c r="G81" s="274" t="s">
        <v>60</v>
      </c>
      <c r="H81" s="273" t="s">
        <v>58</v>
      </c>
      <c r="I81" s="273" t="s">
        <v>1243</v>
      </c>
      <c r="J81" s="775" t="s">
        <v>196</v>
      </c>
      <c r="K81" s="776"/>
    </row>
    <row r="82" spans="1:11" ht="44.1" customHeight="1" x14ac:dyDescent="0.2">
      <c r="A82" s="275" t="s">
        <v>1244</v>
      </c>
      <c r="B82" s="275" t="s">
        <v>3968</v>
      </c>
      <c r="C82" s="276" t="s">
        <v>1508</v>
      </c>
      <c r="D82" s="275" t="s">
        <v>1246</v>
      </c>
      <c r="E82" s="275" t="s">
        <v>505</v>
      </c>
      <c r="F82" s="275" t="s">
        <v>1353</v>
      </c>
      <c r="G82" s="277" t="s">
        <v>52</v>
      </c>
      <c r="H82" s="276">
        <v>1</v>
      </c>
      <c r="I82" s="276" t="s">
        <v>1509</v>
      </c>
      <c r="J82" s="777" t="s">
        <v>1509</v>
      </c>
      <c r="K82" s="778"/>
    </row>
    <row r="83" spans="1:11" ht="21.95" customHeight="1" x14ac:dyDescent="0.2">
      <c r="A83" s="278" t="s">
        <v>1248</v>
      </c>
      <c r="B83" s="278"/>
      <c r="C83" s="279" t="s">
        <v>1269</v>
      </c>
      <c r="D83" s="278" t="s">
        <v>1250</v>
      </c>
      <c r="E83" s="278" t="s">
        <v>1270</v>
      </c>
      <c r="F83" s="278" t="s">
        <v>1252</v>
      </c>
      <c r="G83" s="280" t="s">
        <v>1253</v>
      </c>
      <c r="H83" s="279" t="s">
        <v>1510</v>
      </c>
      <c r="I83" s="279" t="s">
        <v>1272</v>
      </c>
      <c r="J83" s="781">
        <v>57.42</v>
      </c>
      <c r="K83" s="782"/>
    </row>
    <row r="84" spans="1:11" ht="21.95" customHeight="1" x14ac:dyDescent="0.2">
      <c r="A84" s="278" t="s">
        <v>1248</v>
      </c>
      <c r="B84" s="278"/>
      <c r="C84" s="279" t="s">
        <v>1273</v>
      </c>
      <c r="D84" s="278" t="s">
        <v>1250</v>
      </c>
      <c r="E84" s="278" t="s">
        <v>1274</v>
      </c>
      <c r="F84" s="278" t="s">
        <v>1252</v>
      </c>
      <c r="G84" s="280" t="s">
        <v>1253</v>
      </c>
      <c r="H84" s="279" t="s">
        <v>1510</v>
      </c>
      <c r="I84" s="279" t="s">
        <v>1275</v>
      </c>
      <c r="J84" s="781">
        <v>46.67</v>
      </c>
      <c r="K84" s="782"/>
    </row>
    <row r="85" spans="1:11" ht="21.95" customHeight="1" x14ac:dyDescent="0.2">
      <c r="A85" s="278" t="s">
        <v>1248</v>
      </c>
      <c r="B85" s="278"/>
      <c r="C85" s="279" t="s">
        <v>1492</v>
      </c>
      <c r="D85" s="278" t="s">
        <v>1250</v>
      </c>
      <c r="E85" s="278" t="s">
        <v>1493</v>
      </c>
      <c r="F85" s="278" t="s">
        <v>1252</v>
      </c>
      <c r="G85" s="280" t="s">
        <v>153</v>
      </c>
      <c r="H85" s="279" t="s">
        <v>1369</v>
      </c>
      <c r="I85" s="279" t="s">
        <v>1495</v>
      </c>
      <c r="J85" s="781">
        <v>31.54</v>
      </c>
      <c r="K85" s="782"/>
    </row>
    <row r="86" spans="1:11" ht="21.95" customHeight="1" thickBot="1" x14ac:dyDescent="0.25">
      <c r="A86" s="282" t="s">
        <v>1276</v>
      </c>
      <c r="B86" s="282"/>
      <c r="C86" s="283" t="s">
        <v>1511</v>
      </c>
      <c r="D86" s="282" t="s">
        <v>1246</v>
      </c>
      <c r="E86" s="282" t="s">
        <v>779</v>
      </c>
      <c r="F86" s="282" t="s">
        <v>1278</v>
      </c>
      <c r="G86" s="284" t="s">
        <v>52</v>
      </c>
      <c r="H86" s="283" t="s">
        <v>1262</v>
      </c>
      <c r="I86" s="283" t="s">
        <v>1512</v>
      </c>
      <c r="J86" s="770">
        <v>990</v>
      </c>
      <c r="K86" s="771"/>
    </row>
    <row r="87" spans="1:11" ht="0.95" customHeight="1" thickTop="1" x14ac:dyDescent="0.2">
      <c r="A87" s="281"/>
      <c r="B87" s="281"/>
      <c r="C87" s="281"/>
      <c r="D87" s="281"/>
      <c r="E87" s="281"/>
      <c r="F87" s="281"/>
      <c r="G87" s="281"/>
      <c r="H87" s="281"/>
      <c r="I87" s="281"/>
      <c r="J87" s="421"/>
      <c r="K87" s="421"/>
    </row>
    <row r="88" spans="1:11" ht="18" customHeight="1" x14ac:dyDescent="0.2">
      <c r="A88" s="272"/>
      <c r="B88" s="272" t="s">
        <v>54</v>
      </c>
      <c r="C88" s="273" t="s">
        <v>1239</v>
      </c>
      <c r="D88" s="272" t="s">
        <v>1240</v>
      </c>
      <c r="E88" s="272" t="s">
        <v>1241</v>
      </c>
      <c r="F88" s="272" t="s">
        <v>1242</v>
      </c>
      <c r="G88" s="274" t="s">
        <v>60</v>
      </c>
      <c r="H88" s="273" t="s">
        <v>58</v>
      </c>
      <c r="I88" s="273" t="s">
        <v>1243</v>
      </c>
      <c r="J88" s="775" t="s">
        <v>196</v>
      </c>
      <c r="K88" s="776"/>
    </row>
    <row r="89" spans="1:11" ht="21.95" customHeight="1" x14ac:dyDescent="0.2">
      <c r="A89" s="275" t="s">
        <v>1244</v>
      </c>
      <c r="B89" s="275" t="s">
        <v>3969</v>
      </c>
      <c r="C89" s="276" t="s">
        <v>3970</v>
      </c>
      <c r="D89" s="275" t="s">
        <v>1246</v>
      </c>
      <c r="E89" s="275" t="s">
        <v>2712</v>
      </c>
      <c r="F89" s="275" t="s">
        <v>1353</v>
      </c>
      <c r="G89" s="277" t="s">
        <v>77</v>
      </c>
      <c r="H89" s="276">
        <v>1</v>
      </c>
      <c r="I89" s="276" t="s">
        <v>3971</v>
      </c>
      <c r="J89" s="777" t="s">
        <v>3971</v>
      </c>
      <c r="K89" s="778"/>
    </row>
    <row r="90" spans="1:11" ht="21.95" customHeight="1" x14ac:dyDescent="0.2">
      <c r="A90" s="278" t="s">
        <v>1248</v>
      </c>
      <c r="B90" s="278"/>
      <c r="C90" s="279" t="s">
        <v>1269</v>
      </c>
      <c r="D90" s="278" t="s">
        <v>1250</v>
      </c>
      <c r="E90" s="278" t="s">
        <v>1270</v>
      </c>
      <c r="F90" s="278" t="s">
        <v>1252</v>
      </c>
      <c r="G90" s="280" t="s">
        <v>1253</v>
      </c>
      <c r="H90" s="279" t="s">
        <v>3972</v>
      </c>
      <c r="I90" s="279" t="s">
        <v>1272</v>
      </c>
      <c r="J90" s="781">
        <v>37.590000000000003</v>
      </c>
      <c r="K90" s="782"/>
    </row>
    <row r="91" spans="1:11" ht="21.95" customHeight="1" x14ac:dyDescent="0.2">
      <c r="A91" s="278" t="s">
        <v>1248</v>
      </c>
      <c r="B91" s="278"/>
      <c r="C91" s="279" t="s">
        <v>1273</v>
      </c>
      <c r="D91" s="278" t="s">
        <v>1250</v>
      </c>
      <c r="E91" s="278" t="s">
        <v>1274</v>
      </c>
      <c r="F91" s="278" t="s">
        <v>1252</v>
      </c>
      <c r="G91" s="280" t="s">
        <v>1253</v>
      </c>
      <c r="H91" s="279" t="s">
        <v>3972</v>
      </c>
      <c r="I91" s="279" t="s">
        <v>1275</v>
      </c>
      <c r="J91" s="781">
        <v>30.55</v>
      </c>
      <c r="K91" s="782"/>
    </row>
    <row r="92" spans="1:11" ht="21.95" customHeight="1" x14ac:dyDescent="0.2">
      <c r="A92" s="278" t="s">
        <v>1248</v>
      </c>
      <c r="B92" s="278"/>
      <c r="C92" s="279" t="s">
        <v>1441</v>
      </c>
      <c r="D92" s="278" t="s">
        <v>1250</v>
      </c>
      <c r="E92" s="278" t="s">
        <v>1442</v>
      </c>
      <c r="F92" s="278" t="s">
        <v>1252</v>
      </c>
      <c r="G92" s="280" t="s">
        <v>1253</v>
      </c>
      <c r="H92" s="279" t="s">
        <v>3973</v>
      </c>
      <c r="I92" s="279" t="s">
        <v>1444</v>
      </c>
      <c r="J92" s="781">
        <v>73.39</v>
      </c>
      <c r="K92" s="782"/>
    </row>
    <row r="93" spans="1:11" ht="21.95" customHeight="1" x14ac:dyDescent="0.2">
      <c r="A93" s="278" t="s">
        <v>1248</v>
      </c>
      <c r="B93" s="278"/>
      <c r="C93" s="279" t="s">
        <v>1445</v>
      </c>
      <c r="D93" s="278" t="s">
        <v>1250</v>
      </c>
      <c r="E93" s="278" t="s">
        <v>1446</v>
      </c>
      <c r="F93" s="278" t="s">
        <v>1252</v>
      </c>
      <c r="G93" s="280" t="s">
        <v>1253</v>
      </c>
      <c r="H93" s="279" t="s">
        <v>3973</v>
      </c>
      <c r="I93" s="279" t="s">
        <v>1447</v>
      </c>
      <c r="J93" s="781">
        <v>60.39</v>
      </c>
      <c r="K93" s="782"/>
    </row>
    <row r="94" spans="1:11" ht="21.95" customHeight="1" x14ac:dyDescent="0.2">
      <c r="A94" s="282" t="s">
        <v>1276</v>
      </c>
      <c r="B94" s="282"/>
      <c r="C94" s="283" t="s">
        <v>3974</v>
      </c>
      <c r="D94" s="282" t="s">
        <v>1250</v>
      </c>
      <c r="E94" s="282" t="s">
        <v>3975</v>
      </c>
      <c r="F94" s="282" t="s">
        <v>1278</v>
      </c>
      <c r="G94" s="284" t="s">
        <v>71</v>
      </c>
      <c r="H94" s="283" t="s">
        <v>1262</v>
      </c>
      <c r="I94" s="283" t="s">
        <v>3976</v>
      </c>
      <c r="J94" s="779">
        <v>39.799999999999997</v>
      </c>
      <c r="K94" s="780"/>
    </row>
    <row r="95" spans="1:11" ht="21.95" customHeight="1" thickBot="1" x14ac:dyDescent="0.25">
      <c r="A95" s="282" t="s">
        <v>1276</v>
      </c>
      <c r="B95" s="282"/>
      <c r="C95" s="283" t="s">
        <v>3977</v>
      </c>
      <c r="D95" s="282" t="s">
        <v>1250</v>
      </c>
      <c r="E95" s="282" t="s">
        <v>3978</v>
      </c>
      <c r="F95" s="282" t="s">
        <v>1278</v>
      </c>
      <c r="G95" s="284" t="s">
        <v>77</v>
      </c>
      <c r="H95" s="283" t="s">
        <v>1262</v>
      </c>
      <c r="I95" s="283" t="s">
        <v>3979</v>
      </c>
      <c r="J95" s="770">
        <v>574.38</v>
      </c>
      <c r="K95" s="771"/>
    </row>
    <row r="96" spans="1:11" ht="0.95" customHeight="1" thickTop="1" x14ac:dyDescent="0.2">
      <c r="A96" s="281"/>
      <c r="B96" s="281"/>
      <c r="C96" s="281"/>
      <c r="D96" s="281"/>
      <c r="E96" s="281"/>
      <c r="F96" s="281"/>
      <c r="G96" s="281"/>
      <c r="H96" s="281"/>
      <c r="I96" s="281"/>
      <c r="J96" s="421"/>
      <c r="K96" s="421"/>
    </row>
    <row r="97" spans="1:11" ht="18" customHeight="1" x14ac:dyDescent="0.2">
      <c r="A97" s="272"/>
      <c r="B97" s="272" t="s">
        <v>54</v>
      </c>
      <c r="C97" s="273" t="s">
        <v>1239</v>
      </c>
      <c r="D97" s="272" t="s">
        <v>1240</v>
      </c>
      <c r="E97" s="272" t="s">
        <v>1241</v>
      </c>
      <c r="F97" s="272" t="s">
        <v>1242</v>
      </c>
      <c r="G97" s="274" t="s">
        <v>60</v>
      </c>
      <c r="H97" s="273" t="s">
        <v>58</v>
      </c>
      <c r="I97" s="273" t="s">
        <v>1243</v>
      </c>
      <c r="J97" s="775" t="s">
        <v>196</v>
      </c>
      <c r="K97" s="776"/>
    </row>
    <row r="98" spans="1:11" ht="33" customHeight="1" x14ac:dyDescent="0.2">
      <c r="A98" s="275" t="s">
        <v>1244</v>
      </c>
      <c r="B98" s="275" t="s">
        <v>3980</v>
      </c>
      <c r="C98" s="276" t="s">
        <v>1539</v>
      </c>
      <c r="D98" s="275" t="s">
        <v>1246</v>
      </c>
      <c r="E98" s="275" t="s">
        <v>512</v>
      </c>
      <c r="F98" s="275" t="s">
        <v>1351</v>
      </c>
      <c r="G98" s="277" t="s">
        <v>77</v>
      </c>
      <c r="H98" s="276">
        <v>1</v>
      </c>
      <c r="I98" s="276" t="s">
        <v>1540</v>
      </c>
      <c r="J98" s="777" t="s">
        <v>1540</v>
      </c>
      <c r="K98" s="778"/>
    </row>
    <row r="99" spans="1:11" ht="21.95" customHeight="1" x14ac:dyDescent="0.2">
      <c r="A99" s="278" t="s">
        <v>1248</v>
      </c>
      <c r="B99" s="278"/>
      <c r="C99" s="279" t="s">
        <v>1525</v>
      </c>
      <c r="D99" s="278" t="s">
        <v>1250</v>
      </c>
      <c r="E99" s="278" t="s">
        <v>1526</v>
      </c>
      <c r="F99" s="278" t="s">
        <v>1252</v>
      </c>
      <c r="G99" s="280" t="s">
        <v>1253</v>
      </c>
      <c r="H99" s="279" t="s">
        <v>1527</v>
      </c>
      <c r="I99" s="279" t="s">
        <v>1528</v>
      </c>
      <c r="J99" s="781">
        <v>20.51</v>
      </c>
      <c r="K99" s="782"/>
    </row>
    <row r="100" spans="1:11" ht="21.95" customHeight="1" x14ac:dyDescent="0.2">
      <c r="A100" s="278" t="s">
        <v>1248</v>
      </c>
      <c r="B100" s="278"/>
      <c r="C100" s="279" t="s">
        <v>1273</v>
      </c>
      <c r="D100" s="278" t="s">
        <v>1250</v>
      </c>
      <c r="E100" s="278" t="s">
        <v>1274</v>
      </c>
      <c r="F100" s="278" t="s">
        <v>1252</v>
      </c>
      <c r="G100" s="280" t="s">
        <v>1253</v>
      </c>
      <c r="H100" s="279" t="s">
        <v>1529</v>
      </c>
      <c r="I100" s="279" t="s">
        <v>1275</v>
      </c>
      <c r="J100" s="781">
        <v>9.02</v>
      </c>
      <c r="K100" s="782"/>
    </row>
    <row r="101" spans="1:11" ht="21.95" customHeight="1" x14ac:dyDescent="0.2">
      <c r="A101" s="282" t="s">
        <v>1276</v>
      </c>
      <c r="B101" s="282"/>
      <c r="C101" s="283" t="s">
        <v>1530</v>
      </c>
      <c r="D101" s="282" t="s">
        <v>1250</v>
      </c>
      <c r="E101" s="282" t="s">
        <v>1531</v>
      </c>
      <c r="F101" s="282" t="s">
        <v>1278</v>
      </c>
      <c r="G101" s="284" t="s">
        <v>77</v>
      </c>
      <c r="H101" s="283" t="s">
        <v>1532</v>
      </c>
      <c r="I101" s="283" t="s">
        <v>1533</v>
      </c>
      <c r="J101" s="779">
        <v>111.46</v>
      </c>
      <c r="K101" s="780"/>
    </row>
    <row r="102" spans="1:11" ht="21.95" customHeight="1" thickBot="1" x14ac:dyDescent="0.25">
      <c r="A102" s="282" t="s">
        <v>1276</v>
      </c>
      <c r="B102" s="282"/>
      <c r="C102" s="283" t="s">
        <v>1534</v>
      </c>
      <c r="D102" s="282" t="s">
        <v>1250</v>
      </c>
      <c r="E102" s="282" t="s">
        <v>1535</v>
      </c>
      <c r="F102" s="282" t="s">
        <v>1278</v>
      </c>
      <c r="G102" s="284" t="s">
        <v>71</v>
      </c>
      <c r="H102" s="283" t="s">
        <v>1536</v>
      </c>
      <c r="I102" s="283" t="s">
        <v>1537</v>
      </c>
      <c r="J102" s="770">
        <v>26.45</v>
      </c>
      <c r="K102" s="771"/>
    </row>
    <row r="103" spans="1:11" ht="0.95" customHeight="1" thickTop="1" x14ac:dyDescent="0.2">
      <c r="A103" s="281"/>
      <c r="B103" s="281"/>
      <c r="C103" s="281"/>
      <c r="D103" s="281"/>
      <c r="E103" s="281"/>
      <c r="F103" s="281"/>
      <c r="G103" s="281"/>
      <c r="H103" s="281"/>
      <c r="I103" s="281"/>
      <c r="J103" s="421"/>
      <c r="K103" s="421"/>
    </row>
    <row r="104" spans="1:11" ht="18" customHeight="1" x14ac:dyDescent="0.2">
      <c r="A104" s="272"/>
      <c r="B104" s="272" t="s">
        <v>54</v>
      </c>
      <c r="C104" s="273" t="s">
        <v>1239</v>
      </c>
      <c r="D104" s="272" t="s">
        <v>1240</v>
      </c>
      <c r="E104" s="272" t="s">
        <v>1241</v>
      </c>
      <c r="F104" s="272" t="s">
        <v>1242</v>
      </c>
      <c r="G104" s="274" t="s">
        <v>60</v>
      </c>
      <c r="H104" s="273" t="s">
        <v>58</v>
      </c>
      <c r="I104" s="273" t="s">
        <v>1243</v>
      </c>
      <c r="J104" s="775" t="s">
        <v>196</v>
      </c>
      <c r="K104" s="776"/>
    </row>
    <row r="105" spans="1:11" ht="33" customHeight="1" x14ac:dyDescent="0.2">
      <c r="A105" s="275" t="s">
        <v>1244</v>
      </c>
      <c r="B105" s="275" t="s">
        <v>3981</v>
      </c>
      <c r="C105" s="276" t="s">
        <v>3982</v>
      </c>
      <c r="D105" s="275" t="s">
        <v>1246</v>
      </c>
      <c r="E105" s="275" t="s">
        <v>2743</v>
      </c>
      <c r="F105" s="275" t="s">
        <v>1348</v>
      </c>
      <c r="G105" s="277" t="s">
        <v>75</v>
      </c>
      <c r="H105" s="276">
        <v>1</v>
      </c>
      <c r="I105" s="276" t="s">
        <v>3983</v>
      </c>
      <c r="J105" s="777" t="s">
        <v>3983</v>
      </c>
      <c r="K105" s="778"/>
    </row>
    <row r="106" spans="1:11" ht="21.95" customHeight="1" x14ac:dyDescent="0.2">
      <c r="A106" s="278" t="s">
        <v>1248</v>
      </c>
      <c r="B106" s="278"/>
      <c r="C106" s="279" t="s">
        <v>1774</v>
      </c>
      <c r="D106" s="278" t="s">
        <v>1250</v>
      </c>
      <c r="E106" s="278" t="s">
        <v>1775</v>
      </c>
      <c r="F106" s="278" t="s">
        <v>1252</v>
      </c>
      <c r="G106" s="280" t="s">
        <v>1253</v>
      </c>
      <c r="H106" s="279" t="s">
        <v>1346</v>
      </c>
      <c r="I106" s="279" t="s">
        <v>1777</v>
      </c>
      <c r="J106" s="781">
        <v>6.52</v>
      </c>
      <c r="K106" s="782"/>
    </row>
    <row r="107" spans="1:11" ht="21.95" customHeight="1" x14ac:dyDescent="0.2">
      <c r="A107" s="278" t="s">
        <v>1248</v>
      </c>
      <c r="B107" s="278"/>
      <c r="C107" s="279" t="s">
        <v>1273</v>
      </c>
      <c r="D107" s="278" t="s">
        <v>1250</v>
      </c>
      <c r="E107" s="278" t="s">
        <v>1274</v>
      </c>
      <c r="F107" s="278" t="s">
        <v>1252</v>
      </c>
      <c r="G107" s="280" t="s">
        <v>1253</v>
      </c>
      <c r="H107" s="279" t="s">
        <v>1619</v>
      </c>
      <c r="I107" s="279" t="s">
        <v>1275</v>
      </c>
      <c r="J107" s="781">
        <v>2.77</v>
      </c>
      <c r="K107" s="782"/>
    </row>
    <row r="108" spans="1:11" ht="21.95" customHeight="1" x14ac:dyDescent="0.2">
      <c r="A108" s="278" t="s">
        <v>1248</v>
      </c>
      <c r="B108" s="278"/>
      <c r="C108" s="279" t="s">
        <v>3984</v>
      </c>
      <c r="D108" s="278" t="s">
        <v>1250</v>
      </c>
      <c r="E108" s="278" t="s">
        <v>3985</v>
      </c>
      <c r="F108" s="278" t="s">
        <v>1252</v>
      </c>
      <c r="G108" s="280" t="s">
        <v>153</v>
      </c>
      <c r="H108" s="279" t="s">
        <v>1450</v>
      </c>
      <c r="I108" s="279" t="s">
        <v>3986</v>
      </c>
      <c r="J108" s="781">
        <v>1.36</v>
      </c>
      <c r="K108" s="782"/>
    </row>
    <row r="109" spans="1:11" ht="21.95" customHeight="1" thickBot="1" x14ac:dyDescent="0.25">
      <c r="A109" s="282" t="s">
        <v>1276</v>
      </c>
      <c r="B109" s="282"/>
      <c r="C109" s="283" t="s">
        <v>3987</v>
      </c>
      <c r="D109" s="282" t="s">
        <v>1246</v>
      </c>
      <c r="E109" s="282" t="s">
        <v>3988</v>
      </c>
      <c r="F109" s="282" t="s">
        <v>1278</v>
      </c>
      <c r="G109" s="284" t="s">
        <v>77</v>
      </c>
      <c r="H109" s="283" t="s">
        <v>1986</v>
      </c>
      <c r="I109" s="283" t="s">
        <v>1758</v>
      </c>
      <c r="J109" s="770">
        <v>68.25</v>
      </c>
      <c r="K109" s="771"/>
    </row>
    <row r="110" spans="1:11" ht="0.95" customHeight="1" thickTop="1" x14ac:dyDescent="0.2">
      <c r="A110" s="281"/>
      <c r="B110" s="281"/>
      <c r="C110" s="281"/>
      <c r="D110" s="281"/>
      <c r="E110" s="281"/>
      <c r="F110" s="281"/>
      <c r="G110" s="281"/>
      <c r="H110" s="281"/>
      <c r="I110" s="281"/>
      <c r="J110" s="421"/>
      <c r="K110" s="421"/>
    </row>
    <row r="111" spans="1:11" ht="18" customHeight="1" x14ac:dyDescent="0.2">
      <c r="A111" s="272"/>
      <c r="B111" s="272" t="s">
        <v>54</v>
      </c>
      <c r="C111" s="273" t="s">
        <v>1239</v>
      </c>
      <c r="D111" s="272" t="s">
        <v>1240</v>
      </c>
      <c r="E111" s="272" t="s">
        <v>1241</v>
      </c>
      <c r="F111" s="272" t="s">
        <v>1242</v>
      </c>
      <c r="G111" s="274" t="s">
        <v>60</v>
      </c>
      <c r="H111" s="273" t="s">
        <v>58</v>
      </c>
      <c r="I111" s="273" t="s">
        <v>1243</v>
      </c>
      <c r="J111" s="775" t="s">
        <v>196</v>
      </c>
      <c r="K111" s="776"/>
    </row>
    <row r="112" spans="1:11" ht="21.95" customHeight="1" x14ac:dyDescent="0.2">
      <c r="A112" s="275" t="s">
        <v>1244</v>
      </c>
      <c r="B112" s="275" t="s">
        <v>3989</v>
      </c>
      <c r="C112" s="276" t="s">
        <v>1543</v>
      </c>
      <c r="D112" s="275" t="s">
        <v>1246</v>
      </c>
      <c r="E112" s="275" t="s">
        <v>519</v>
      </c>
      <c r="F112" s="275" t="s">
        <v>1395</v>
      </c>
      <c r="G112" s="277" t="s">
        <v>77</v>
      </c>
      <c r="H112" s="276">
        <v>1</v>
      </c>
      <c r="I112" s="276" t="s">
        <v>1544</v>
      </c>
      <c r="J112" s="777" t="s">
        <v>1544</v>
      </c>
      <c r="K112" s="778"/>
    </row>
    <row r="113" spans="1:11" ht="21.95" customHeight="1" x14ac:dyDescent="0.2">
      <c r="A113" s="278" t="s">
        <v>1248</v>
      </c>
      <c r="B113" s="278"/>
      <c r="C113" s="279" t="s">
        <v>1448</v>
      </c>
      <c r="D113" s="278" t="s">
        <v>1250</v>
      </c>
      <c r="E113" s="278" t="s">
        <v>1449</v>
      </c>
      <c r="F113" s="278" t="s">
        <v>1252</v>
      </c>
      <c r="G113" s="280" t="s">
        <v>1253</v>
      </c>
      <c r="H113" s="279" t="s">
        <v>1486</v>
      </c>
      <c r="I113" s="279" t="s">
        <v>1451</v>
      </c>
      <c r="J113" s="781">
        <v>5.96</v>
      </c>
      <c r="K113" s="782"/>
    </row>
    <row r="114" spans="1:11" ht="21.95" customHeight="1" x14ac:dyDescent="0.2">
      <c r="A114" s="278" t="s">
        <v>1248</v>
      </c>
      <c r="B114" s="278"/>
      <c r="C114" s="279" t="s">
        <v>1273</v>
      </c>
      <c r="D114" s="278" t="s">
        <v>1250</v>
      </c>
      <c r="E114" s="278" t="s">
        <v>1274</v>
      </c>
      <c r="F114" s="278" t="s">
        <v>1252</v>
      </c>
      <c r="G114" s="280" t="s">
        <v>1253</v>
      </c>
      <c r="H114" s="279" t="s">
        <v>1341</v>
      </c>
      <c r="I114" s="279" t="s">
        <v>1275</v>
      </c>
      <c r="J114" s="781">
        <v>3.47</v>
      </c>
      <c r="K114" s="782"/>
    </row>
    <row r="115" spans="1:11" ht="21.95" customHeight="1" x14ac:dyDescent="0.2">
      <c r="A115" s="282" t="s">
        <v>1276</v>
      </c>
      <c r="B115" s="282"/>
      <c r="C115" s="283" t="s">
        <v>1541</v>
      </c>
      <c r="D115" s="282" t="s">
        <v>1250</v>
      </c>
      <c r="E115" s="282" t="s">
        <v>1542</v>
      </c>
      <c r="F115" s="282" t="s">
        <v>1278</v>
      </c>
      <c r="G115" s="284" t="s">
        <v>52</v>
      </c>
      <c r="H115" s="283" t="s">
        <v>1356</v>
      </c>
      <c r="I115" s="283" t="s">
        <v>1529</v>
      </c>
      <c r="J115" s="779">
        <v>0.19</v>
      </c>
      <c r="K115" s="780"/>
    </row>
    <row r="116" spans="1:11" ht="21.95" customHeight="1" thickBot="1" x14ac:dyDescent="0.25">
      <c r="A116" s="282" t="s">
        <v>1276</v>
      </c>
      <c r="B116" s="282"/>
      <c r="C116" s="283" t="s">
        <v>1545</v>
      </c>
      <c r="D116" s="282" t="s">
        <v>1250</v>
      </c>
      <c r="E116" s="282" t="s">
        <v>1546</v>
      </c>
      <c r="F116" s="282" t="s">
        <v>1278</v>
      </c>
      <c r="G116" s="284" t="s">
        <v>1547</v>
      </c>
      <c r="H116" s="283" t="s">
        <v>1548</v>
      </c>
      <c r="I116" s="283" t="s">
        <v>1549</v>
      </c>
      <c r="J116" s="770">
        <v>3.26</v>
      </c>
      <c r="K116" s="771"/>
    </row>
    <row r="117" spans="1:11" ht="0.95" customHeight="1" thickTop="1" x14ac:dyDescent="0.2">
      <c r="A117" s="281"/>
      <c r="B117" s="281"/>
      <c r="C117" s="281"/>
      <c r="D117" s="281"/>
      <c r="E117" s="281"/>
      <c r="F117" s="281"/>
      <c r="G117" s="281"/>
      <c r="H117" s="281"/>
      <c r="I117" s="281"/>
      <c r="J117" s="421"/>
      <c r="K117" s="421"/>
    </row>
    <row r="118" spans="1:11" ht="18" customHeight="1" x14ac:dyDescent="0.2">
      <c r="A118" s="272"/>
      <c r="B118" s="272" t="s">
        <v>54</v>
      </c>
      <c r="C118" s="273" t="s">
        <v>1239</v>
      </c>
      <c r="D118" s="272" t="s">
        <v>1240</v>
      </c>
      <c r="E118" s="272" t="s">
        <v>1241</v>
      </c>
      <c r="F118" s="272" t="s">
        <v>1242</v>
      </c>
      <c r="G118" s="274" t="s">
        <v>60</v>
      </c>
      <c r="H118" s="273" t="s">
        <v>58</v>
      </c>
      <c r="I118" s="273" t="s">
        <v>1243</v>
      </c>
      <c r="J118" s="775" t="s">
        <v>196</v>
      </c>
      <c r="K118" s="776"/>
    </row>
    <row r="119" spans="1:11" ht="21.95" customHeight="1" x14ac:dyDescent="0.2">
      <c r="A119" s="275" t="s">
        <v>1244</v>
      </c>
      <c r="B119" s="275" t="s">
        <v>3990</v>
      </c>
      <c r="C119" s="276" t="s">
        <v>3991</v>
      </c>
      <c r="D119" s="275" t="s">
        <v>1246</v>
      </c>
      <c r="E119" s="275" t="s">
        <v>2765</v>
      </c>
      <c r="F119" s="275" t="s">
        <v>1395</v>
      </c>
      <c r="G119" s="277" t="s">
        <v>77</v>
      </c>
      <c r="H119" s="276">
        <v>1</v>
      </c>
      <c r="I119" s="276" t="s">
        <v>3992</v>
      </c>
      <c r="J119" s="777" t="s">
        <v>3992</v>
      </c>
      <c r="K119" s="778"/>
    </row>
    <row r="120" spans="1:11" ht="21.95" customHeight="1" x14ac:dyDescent="0.2">
      <c r="A120" s="278" t="s">
        <v>1248</v>
      </c>
      <c r="B120" s="278"/>
      <c r="C120" s="279" t="s">
        <v>1448</v>
      </c>
      <c r="D120" s="278" t="s">
        <v>1250</v>
      </c>
      <c r="E120" s="278" t="s">
        <v>1449</v>
      </c>
      <c r="F120" s="278" t="s">
        <v>1252</v>
      </c>
      <c r="G120" s="280" t="s">
        <v>1253</v>
      </c>
      <c r="H120" s="279" t="s">
        <v>1619</v>
      </c>
      <c r="I120" s="279" t="s">
        <v>1451</v>
      </c>
      <c r="J120" s="781">
        <v>3.4</v>
      </c>
      <c r="K120" s="782"/>
    </row>
    <row r="121" spans="1:11" ht="21.95" customHeight="1" x14ac:dyDescent="0.2">
      <c r="A121" s="278" t="s">
        <v>1248</v>
      </c>
      <c r="B121" s="278"/>
      <c r="C121" s="279" t="s">
        <v>1702</v>
      </c>
      <c r="D121" s="278" t="s">
        <v>1250</v>
      </c>
      <c r="E121" s="278" t="s">
        <v>1703</v>
      </c>
      <c r="F121" s="278" t="s">
        <v>1252</v>
      </c>
      <c r="G121" s="280" t="s">
        <v>1253</v>
      </c>
      <c r="H121" s="279" t="s">
        <v>1636</v>
      </c>
      <c r="I121" s="279" t="s">
        <v>1704</v>
      </c>
      <c r="J121" s="781">
        <v>2.63</v>
      </c>
      <c r="K121" s="782"/>
    </row>
    <row r="122" spans="1:11" ht="21.95" customHeight="1" x14ac:dyDescent="0.2">
      <c r="A122" s="282" t="s">
        <v>1276</v>
      </c>
      <c r="B122" s="282"/>
      <c r="C122" s="283" t="s">
        <v>1541</v>
      </c>
      <c r="D122" s="282" t="s">
        <v>1250</v>
      </c>
      <c r="E122" s="282" t="s">
        <v>1542</v>
      </c>
      <c r="F122" s="282" t="s">
        <v>1278</v>
      </c>
      <c r="G122" s="284" t="s">
        <v>52</v>
      </c>
      <c r="H122" s="283" t="s">
        <v>1262</v>
      </c>
      <c r="I122" s="283" t="s">
        <v>1529</v>
      </c>
      <c r="J122" s="779">
        <v>0.65</v>
      </c>
      <c r="K122" s="780"/>
    </row>
    <row r="123" spans="1:11" ht="21.95" customHeight="1" thickBot="1" x14ac:dyDescent="0.25">
      <c r="A123" s="282" t="s">
        <v>1276</v>
      </c>
      <c r="B123" s="282"/>
      <c r="C123" s="283" t="s">
        <v>3993</v>
      </c>
      <c r="D123" s="282" t="s">
        <v>1250</v>
      </c>
      <c r="E123" s="282" t="s">
        <v>3994</v>
      </c>
      <c r="F123" s="282" t="s">
        <v>1278</v>
      </c>
      <c r="G123" s="284" t="s">
        <v>749</v>
      </c>
      <c r="H123" s="283" t="s">
        <v>1393</v>
      </c>
      <c r="I123" s="283" t="s">
        <v>3995</v>
      </c>
      <c r="J123" s="770">
        <v>5.25</v>
      </c>
      <c r="K123" s="771"/>
    </row>
    <row r="124" spans="1:11" ht="0.95" customHeight="1" thickTop="1" x14ac:dyDescent="0.2">
      <c r="A124" s="281"/>
      <c r="B124" s="281"/>
      <c r="C124" s="281"/>
      <c r="D124" s="281"/>
      <c r="E124" s="281"/>
      <c r="F124" s="281"/>
      <c r="G124" s="281"/>
      <c r="H124" s="281"/>
      <c r="I124" s="281"/>
      <c r="J124" s="421"/>
      <c r="K124" s="421"/>
    </row>
    <row r="125" spans="1:11" ht="18" customHeight="1" x14ac:dyDescent="0.2">
      <c r="A125" s="272"/>
      <c r="B125" s="272" t="s">
        <v>54</v>
      </c>
      <c r="C125" s="273" t="s">
        <v>1239</v>
      </c>
      <c r="D125" s="272" t="s">
        <v>1240</v>
      </c>
      <c r="E125" s="272" t="s">
        <v>1241</v>
      </c>
      <c r="F125" s="272" t="s">
        <v>1242</v>
      </c>
      <c r="G125" s="274" t="s">
        <v>60</v>
      </c>
      <c r="H125" s="273" t="s">
        <v>58</v>
      </c>
      <c r="I125" s="273" t="s">
        <v>1243</v>
      </c>
      <c r="J125" s="775" t="s">
        <v>196</v>
      </c>
      <c r="K125" s="776"/>
    </row>
    <row r="126" spans="1:11" ht="33" customHeight="1" x14ac:dyDescent="0.2">
      <c r="A126" s="275" t="s">
        <v>1244</v>
      </c>
      <c r="B126" s="275" t="s">
        <v>3996</v>
      </c>
      <c r="C126" s="276" t="s">
        <v>1772</v>
      </c>
      <c r="D126" s="275" t="s">
        <v>1246</v>
      </c>
      <c r="E126" s="275" t="s">
        <v>553</v>
      </c>
      <c r="F126" s="275" t="s">
        <v>1379</v>
      </c>
      <c r="G126" s="277" t="s">
        <v>77</v>
      </c>
      <c r="H126" s="276">
        <v>1</v>
      </c>
      <c r="I126" s="276" t="s">
        <v>1773</v>
      </c>
      <c r="J126" s="777" t="s">
        <v>1773</v>
      </c>
      <c r="K126" s="778"/>
    </row>
    <row r="127" spans="1:11" ht="21.95" customHeight="1" x14ac:dyDescent="0.2">
      <c r="A127" s="278" t="s">
        <v>1248</v>
      </c>
      <c r="B127" s="278"/>
      <c r="C127" s="279" t="s">
        <v>1774</v>
      </c>
      <c r="D127" s="278" t="s">
        <v>1250</v>
      </c>
      <c r="E127" s="278" t="s">
        <v>1775</v>
      </c>
      <c r="F127" s="278" t="s">
        <v>1252</v>
      </c>
      <c r="G127" s="280" t="s">
        <v>1253</v>
      </c>
      <c r="H127" s="279" t="s">
        <v>1776</v>
      </c>
      <c r="I127" s="279" t="s">
        <v>1777</v>
      </c>
      <c r="J127" s="781">
        <v>78.239999999999995</v>
      </c>
      <c r="K127" s="782"/>
    </row>
    <row r="128" spans="1:11" ht="21.95" customHeight="1" x14ac:dyDescent="0.2">
      <c r="A128" s="278" t="s">
        <v>1248</v>
      </c>
      <c r="B128" s="278"/>
      <c r="C128" s="279" t="s">
        <v>1273</v>
      </c>
      <c r="D128" s="278" t="s">
        <v>1250</v>
      </c>
      <c r="E128" s="278" t="s">
        <v>1274</v>
      </c>
      <c r="F128" s="278" t="s">
        <v>1252</v>
      </c>
      <c r="G128" s="280" t="s">
        <v>1253</v>
      </c>
      <c r="H128" s="279" t="s">
        <v>1778</v>
      </c>
      <c r="I128" s="279" t="s">
        <v>1275</v>
      </c>
      <c r="J128" s="781">
        <v>31.94</v>
      </c>
      <c r="K128" s="782"/>
    </row>
    <row r="129" spans="1:11" ht="21.95" customHeight="1" x14ac:dyDescent="0.2">
      <c r="A129" s="278" t="s">
        <v>1248</v>
      </c>
      <c r="B129" s="278"/>
      <c r="C129" s="279" t="s">
        <v>1779</v>
      </c>
      <c r="D129" s="278" t="s">
        <v>1250</v>
      </c>
      <c r="E129" s="278" t="s">
        <v>1780</v>
      </c>
      <c r="F129" s="278" t="s">
        <v>1252</v>
      </c>
      <c r="G129" s="280" t="s">
        <v>153</v>
      </c>
      <c r="H129" s="279" t="s">
        <v>1781</v>
      </c>
      <c r="I129" s="279" t="s">
        <v>1782</v>
      </c>
      <c r="J129" s="781">
        <v>1.18</v>
      </c>
      <c r="K129" s="782"/>
    </row>
    <row r="130" spans="1:11" ht="21.95" customHeight="1" x14ac:dyDescent="0.2">
      <c r="A130" s="282" t="s">
        <v>1276</v>
      </c>
      <c r="B130" s="282"/>
      <c r="C130" s="283" t="s">
        <v>1783</v>
      </c>
      <c r="D130" s="282" t="s">
        <v>1250</v>
      </c>
      <c r="E130" s="282" t="s">
        <v>1784</v>
      </c>
      <c r="F130" s="282" t="s">
        <v>1278</v>
      </c>
      <c r="G130" s="284" t="s">
        <v>71</v>
      </c>
      <c r="H130" s="283" t="s">
        <v>1343</v>
      </c>
      <c r="I130" s="283" t="s">
        <v>1785</v>
      </c>
      <c r="J130" s="779">
        <v>1.94</v>
      </c>
      <c r="K130" s="780"/>
    </row>
    <row r="131" spans="1:11" ht="21.95" customHeight="1" thickBot="1" x14ac:dyDescent="0.25">
      <c r="A131" s="282" t="s">
        <v>1276</v>
      </c>
      <c r="B131" s="282"/>
      <c r="C131" s="283" t="s">
        <v>1786</v>
      </c>
      <c r="D131" s="282" t="s">
        <v>1246</v>
      </c>
      <c r="E131" s="282" t="s">
        <v>795</v>
      </c>
      <c r="F131" s="282" t="s">
        <v>1278</v>
      </c>
      <c r="G131" s="284" t="s">
        <v>77</v>
      </c>
      <c r="H131" s="283" t="s">
        <v>1262</v>
      </c>
      <c r="I131" s="283" t="s">
        <v>1758</v>
      </c>
      <c r="J131" s="770">
        <v>455</v>
      </c>
      <c r="K131" s="771"/>
    </row>
    <row r="132" spans="1:11" ht="0.95" customHeight="1" thickTop="1" x14ac:dyDescent="0.2">
      <c r="A132" s="281"/>
      <c r="B132" s="281"/>
      <c r="C132" s="281"/>
      <c r="D132" s="281"/>
      <c r="E132" s="281"/>
      <c r="F132" s="281"/>
      <c r="G132" s="281"/>
      <c r="H132" s="281"/>
      <c r="I132" s="281"/>
      <c r="J132" s="421"/>
      <c r="K132" s="421"/>
    </row>
    <row r="133" spans="1:11" ht="18" customHeight="1" x14ac:dyDescent="0.2">
      <c r="A133" s="272"/>
      <c r="B133" s="272" t="s">
        <v>54</v>
      </c>
      <c r="C133" s="273" t="s">
        <v>1239</v>
      </c>
      <c r="D133" s="272" t="s">
        <v>1240</v>
      </c>
      <c r="E133" s="272" t="s">
        <v>1241</v>
      </c>
      <c r="F133" s="272" t="s">
        <v>1242</v>
      </c>
      <c r="G133" s="274" t="s">
        <v>60</v>
      </c>
      <c r="H133" s="273" t="s">
        <v>58</v>
      </c>
      <c r="I133" s="273" t="s">
        <v>1243</v>
      </c>
      <c r="J133" s="775" t="s">
        <v>196</v>
      </c>
      <c r="K133" s="776"/>
    </row>
    <row r="134" spans="1:11" ht="21.95" customHeight="1" x14ac:dyDescent="0.2">
      <c r="A134" s="275" t="s">
        <v>1244</v>
      </c>
      <c r="B134" s="275" t="s">
        <v>3997</v>
      </c>
      <c r="C134" s="276" t="s">
        <v>1787</v>
      </c>
      <c r="D134" s="275" t="s">
        <v>1246</v>
      </c>
      <c r="E134" s="275" t="s">
        <v>556</v>
      </c>
      <c r="F134" s="275" t="s">
        <v>1385</v>
      </c>
      <c r="G134" s="277" t="s">
        <v>10</v>
      </c>
      <c r="H134" s="276">
        <v>1</v>
      </c>
      <c r="I134" s="276" t="s">
        <v>1788</v>
      </c>
      <c r="J134" s="777" t="s">
        <v>1788</v>
      </c>
      <c r="K134" s="778"/>
    </row>
    <row r="135" spans="1:11" ht="21.95" customHeight="1" x14ac:dyDescent="0.2">
      <c r="A135" s="278" t="s">
        <v>1248</v>
      </c>
      <c r="B135" s="278"/>
      <c r="C135" s="279" t="s">
        <v>1273</v>
      </c>
      <c r="D135" s="278" t="s">
        <v>1250</v>
      </c>
      <c r="E135" s="278" t="s">
        <v>1274</v>
      </c>
      <c r="F135" s="278" t="s">
        <v>1252</v>
      </c>
      <c r="G135" s="280" t="s">
        <v>1253</v>
      </c>
      <c r="H135" s="279" t="s">
        <v>1661</v>
      </c>
      <c r="I135" s="279" t="s">
        <v>1275</v>
      </c>
      <c r="J135" s="781">
        <v>22.22</v>
      </c>
      <c r="K135" s="782"/>
    </row>
    <row r="136" spans="1:11" ht="21.95" customHeight="1" x14ac:dyDescent="0.2">
      <c r="A136" s="282" t="s">
        <v>1276</v>
      </c>
      <c r="B136" s="282"/>
      <c r="C136" s="283" t="s">
        <v>1789</v>
      </c>
      <c r="D136" s="282" t="s">
        <v>1250</v>
      </c>
      <c r="E136" s="282" t="s">
        <v>1790</v>
      </c>
      <c r="F136" s="282" t="s">
        <v>1278</v>
      </c>
      <c r="G136" s="284" t="s">
        <v>71</v>
      </c>
      <c r="H136" s="283" t="s">
        <v>1791</v>
      </c>
      <c r="I136" s="283" t="s">
        <v>1498</v>
      </c>
      <c r="J136" s="779">
        <v>22.4</v>
      </c>
      <c r="K136" s="780"/>
    </row>
    <row r="137" spans="1:11" ht="21.95" customHeight="1" thickBot="1" x14ac:dyDescent="0.25">
      <c r="A137" s="282" t="s">
        <v>1276</v>
      </c>
      <c r="B137" s="282"/>
      <c r="C137" s="283" t="s">
        <v>1792</v>
      </c>
      <c r="D137" s="282" t="s">
        <v>1250</v>
      </c>
      <c r="E137" s="282" t="s">
        <v>1793</v>
      </c>
      <c r="F137" s="282" t="s">
        <v>1278</v>
      </c>
      <c r="G137" s="284" t="s">
        <v>153</v>
      </c>
      <c r="H137" s="283" t="s">
        <v>1794</v>
      </c>
      <c r="I137" s="283" t="s">
        <v>1795</v>
      </c>
      <c r="J137" s="770">
        <v>63.63</v>
      </c>
      <c r="K137" s="771"/>
    </row>
    <row r="138" spans="1:11" ht="0.95" customHeight="1" thickTop="1" x14ac:dyDescent="0.2">
      <c r="A138" s="281"/>
      <c r="B138" s="281"/>
      <c r="C138" s="281"/>
      <c r="D138" s="281"/>
      <c r="E138" s="281"/>
      <c r="F138" s="281"/>
      <c r="G138" s="281"/>
      <c r="H138" s="281"/>
      <c r="I138" s="281"/>
      <c r="J138" s="421"/>
      <c r="K138" s="421"/>
    </row>
    <row r="139" spans="1:11" ht="18" customHeight="1" x14ac:dyDescent="0.2">
      <c r="A139" s="272"/>
      <c r="B139" s="272" t="s">
        <v>54</v>
      </c>
      <c r="C139" s="273" t="s">
        <v>1239</v>
      </c>
      <c r="D139" s="272" t="s">
        <v>1240</v>
      </c>
      <c r="E139" s="272" t="s">
        <v>1241</v>
      </c>
      <c r="F139" s="272" t="s">
        <v>1242</v>
      </c>
      <c r="G139" s="274" t="s">
        <v>60</v>
      </c>
      <c r="H139" s="273" t="s">
        <v>58</v>
      </c>
      <c r="I139" s="273" t="s">
        <v>1243</v>
      </c>
      <c r="J139" s="775" t="s">
        <v>196</v>
      </c>
      <c r="K139" s="776"/>
    </row>
    <row r="140" spans="1:11" ht="21.95" customHeight="1" x14ac:dyDescent="0.2">
      <c r="A140" s="275" t="s">
        <v>1244</v>
      </c>
      <c r="B140" s="275" t="s">
        <v>3998</v>
      </c>
      <c r="C140" s="276" t="s">
        <v>3999</v>
      </c>
      <c r="D140" s="275" t="s">
        <v>1246</v>
      </c>
      <c r="E140" s="275" t="s">
        <v>2772</v>
      </c>
      <c r="F140" s="275" t="s">
        <v>1358</v>
      </c>
      <c r="G140" s="277" t="s">
        <v>52</v>
      </c>
      <c r="H140" s="276">
        <v>1</v>
      </c>
      <c r="I140" s="276" t="s">
        <v>4000</v>
      </c>
      <c r="J140" s="777" t="s">
        <v>4000</v>
      </c>
      <c r="K140" s="778"/>
    </row>
    <row r="141" spans="1:11" ht="21.95" customHeight="1" x14ac:dyDescent="0.2">
      <c r="A141" s="278" t="s">
        <v>1248</v>
      </c>
      <c r="B141" s="278"/>
      <c r="C141" s="279" t="s">
        <v>1273</v>
      </c>
      <c r="D141" s="278" t="s">
        <v>1250</v>
      </c>
      <c r="E141" s="278" t="s">
        <v>1274</v>
      </c>
      <c r="F141" s="278" t="s">
        <v>1252</v>
      </c>
      <c r="G141" s="280" t="s">
        <v>1253</v>
      </c>
      <c r="H141" s="279" t="s">
        <v>1483</v>
      </c>
      <c r="I141" s="279" t="s">
        <v>1275</v>
      </c>
      <c r="J141" s="781">
        <v>0.13</v>
      </c>
      <c r="K141" s="782"/>
    </row>
    <row r="142" spans="1:11" ht="21.95" customHeight="1" x14ac:dyDescent="0.2">
      <c r="A142" s="282" t="s">
        <v>1276</v>
      </c>
      <c r="B142" s="282"/>
      <c r="C142" s="283" t="s">
        <v>1792</v>
      </c>
      <c r="D142" s="282" t="s">
        <v>1250</v>
      </c>
      <c r="E142" s="282" t="s">
        <v>1793</v>
      </c>
      <c r="F142" s="282" t="s">
        <v>1278</v>
      </c>
      <c r="G142" s="284" t="s">
        <v>153</v>
      </c>
      <c r="H142" s="283" t="s">
        <v>4001</v>
      </c>
      <c r="I142" s="283" t="s">
        <v>1795</v>
      </c>
      <c r="J142" s="779">
        <v>0.35</v>
      </c>
      <c r="K142" s="780"/>
    </row>
    <row r="143" spans="1:11" ht="21.95" customHeight="1" x14ac:dyDescent="0.2">
      <c r="A143" s="282" t="s">
        <v>1276</v>
      </c>
      <c r="B143" s="282"/>
      <c r="C143" s="283" t="s">
        <v>4002</v>
      </c>
      <c r="D143" s="282" t="s">
        <v>1246</v>
      </c>
      <c r="E143" s="282" t="s">
        <v>3911</v>
      </c>
      <c r="F143" s="282" t="s">
        <v>1278</v>
      </c>
      <c r="G143" s="284" t="s">
        <v>52</v>
      </c>
      <c r="H143" s="283" t="s">
        <v>1262</v>
      </c>
      <c r="I143" s="283" t="s">
        <v>4003</v>
      </c>
      <c r="J143" s="779">
        <v>3</v>
      </c>
      <c r="K143" s="780"/>
    </row>
    <row r="144" spans="1:11" ht="21.95" customHeight="1" x14ac:dyDescent="0.2">
      <c r="A144" s="282" t="s">
        <v>1276</v>
      </c>
      <c r="B144" s="282"/>
      <c r="C144" s="283" t="s">
        <v>4004</v>
      </c>
      <c r="D144" s="282" t="s">
        <v>1250</v>
      </c>
      <c r="E144" s="282" t="s">
        <v>4005</v>
      </c>
      <c r="F144" s="282" t="s">
        <v>1278</v>
      </c>
      <c r="G144" s="284" t="s">
        <v>71</v>
      </c>
      <c r="H144" s="283" t="s">
        <v>4001</v>
      </c>
      <c r="I144" s="283" t="s">
        <v>2104</v>
      </c>
      <c r="J144" s="779">
        <v>0</v>
      </c>
      <c r="K144" s="780"/>
    </row>
    <row r="145" spans="1:11" ht="21.95" customHeight="1" thickBot="1" x14ac:dyDescent="0.25">
      <c r="A145" s="282" t="s">
        <v>1276</v>
      </c>
      <c r="B145" s="282"/>
      <c r="C145" s="283" t="s">
        <v>4006</v>
      </c>
      <c r="D145" s="282" t="s">
        <v>1250</v>
      </c>
      <c r="E145" s="282" t="s">
        <v>4007</v>
      </c>
      <c r="F145" s="282" t="s">
        <v>1278</v>
      </c>
      <c r="G145" s="284" t="s">
        <v>71</v>
      </c>
      <c r="H145" s="283" t="s">
        <v>4001</v>
      </c>
      <c r="I145" s="283" t="s">
        <v>1430</v>
      </c>
      <c r="J145" s="770">
        <v>0</v>
      </c>
      <c r="K145" s="771"/>
    </row>
    <row r="146" spans="1:11" ht="0.95" customHeight="1" thickTop="1" x14ac:dyDescent="0.2">
      <c r="A146" s="281"/>
      <c r="B146" s="281"/>
      <c r="C146" s="281"/>
      <c r="D146" s="281"/>
      <c r="E146" s="281"/>
      <c r="F146" s="281"/>
      <c r="G146" s="281"/>
      <c r="H146" s="281"/>
      <c r="I146" s="281"/>
      <c r="J146" s="421"/>
      <c r="K146" s="421"/>
    </row>
    <row r="147" spans="1:11" ht="18" customHeight="1" x14ac:dyDescent="0.2">
      <c r="A147" s="272"/>
      <c r="B147" s="272" t="s">
        <v>54</v>
      </c>
      <c r="C147" s="273" t="s">
        <v>1239</v>
      </c>
      <c r="D147" s="272" t="s">
        <v>1240</v>
      </c>
      <c r="E147" s="272" t="s">
        <v>1241</v>
      </c>
      <c r="F147" s="272" t="s">
        <v>1242</v>
      </c>
      <c r="G147" s="274" t="s">
        <v>60</v>
      </c>
      <c r="H147" s="273" t="s">
        <v>58</v>
      </c>
      <c r="I147" s="273" t="s">
        <v>1243</v>
      </c>
      <c r="J147" s="775" t="s">
        <v>196</v>
      </c>
      <c r="K147" s="776"/>
    </row>
    <row r="148" spans="1:11" ht="21.95" customHeight="1" x14ac:dyDescent="0.2">
      <c r="A148" s="275" t="s">
        <v>1244</v>
      </c>
      <c r="B148" s="275" t="s">
        <v>4008</v>
      </c>
      <c r="C148" s="276" t="s">
        <v>4009</v>
      </c>
      <c r="D148" s="275" t="s">
        <v>1246</v>
      </c>
      <c r="E148" s="275" t="s">
        <v>2776</v>
      </c>
      <c r="F148" s="275" t="s">
        <v>1358</v>
      </c>
      <c r="G148" s="277" t="s">
        <v>52</v>
      </c>
      <c r="H148" s="276">
        <v>1</v>
      </c>
      <c r="I148" s="276" t="s">
        <v>4010</v>
      </c>
      <c r="J148" s="777" t="s">
        <v>4010</v>
      </c>
      <c r="K148" s="778"/>
    </row>
    <row r="149" spans="1:11" ht="21.95" customHeight="1" x14ac:dyDescent="0.2">
      <c r="A149" s="278" t="s">
        <v>1248</v>
      </c>
      <c r="B149" s="278"/>
      <c r="C149" s="279" t="s">
        <v>4011</v>
      </c>
      <c r="D149" s="278" t="s">
        <v>1250</v>
      </c>
      <c r="E149" s="278" t="s">
        <v>4012</v>
      </c>
      <c r="F149" s="278" t="s">
        <v>1252</v>
      </c>
      <c r="G149" s="280" t="s">
        <v>1253</v>
      </c>
      <c r="H149" s="279" t="s">
        <v>1494</v>
      </c>
      <c r="I149" s="279" t="s">
        <v>2251</v>
      </c>
      <c r="J149" s="781">
        <v>1.25</v>
      </c>
      <c r="K149" s="782"/>
    </row>
    <row r="150" spans="1:11" ht="21.95" customHeight="1" x14ac:dyDescent="0.2">
      <c r="A150" s="278" t="s">
        <v>1248</v>
      </c>
      <c r="B150" s="278"/>
      <c r="C150" s="279" t="s">
        <v>1273</v>
      </c>
      <c r="D150" s="278" t="s">
        <v>1250</v>
      </c>
      <c r="E150" s="278" t="s">
        <v>1274</v>
      </c>
      <c r="F150" s="278" t="s">
        <v>1252</v>
      </c>
      <c r="G150" s="280" t="s">
        <v>1253</v>
      </c>
      <c r="H150" s="279" t="s">
        <v>1494</v>
      </c>
      <c r="I150" s="279" t="s">
        <v>1275</v>
      </c>
      <c r="J150" s="781">
        <v>1.25</v>
      </c>
      <c r="K150" s="782"/>
    </row>
    <row r="151" spans="1:11" ht="21.95" customHeight="1" x14ac:dyDescent="0.2">
      <c r="A151" s="282" t="s">
        <v>1276</v>
      </c>
      <c r="B151" s="282"/>
      <c r="C151" s="283" t="s">
        <v>1307</v>
      </c>
      <c r="D151" s="282" t="s">
        <v>1250</v>
      </c>
      <c r="E151" s="282" t="s">
        <v>1308</v>
      </c>
      <c r="F151" s="282" t="s">
        <v>1278</v>
      </c>
      <c r="G151" s="284" t="s">
        <v>153</v>
      </c>
      <c r="H151" s="283" t="s">
        <v>1638</v>
      </c>
      <c r="I151" s="283" t="s">
        <v>1310</v>
      </c>
      <c r="J151" s="779">
        <v>1.92</v>
      </c>
      <c r="K151" s="780"/>
    </row>
    <row r="152" spans="1:11" ht="21.95" customHeight="1" x14ac:dyDescent="0.2">
      <c r="A152" s="282" t="s">
        <v>1276</v>
      </c>
      <c r="B152" s="282"/>
      <c r="C152" s="283" t="s">
        <v>1792</v>
      </c>
      <c r="D152" s="282" t="s">
        <v>1250</v>
      </c>
      <c r="E152" s="282" t="s">
        <v>1793</v>
      </c>
      <c r="F152" s="282" t="s">
        <v>1278</v>
      </c>
      <c r="G152" s="284" t="s">
        <v>153</v>
      </c>
      <c r="H152" s="283" t="s">
        <v>4013</v>
      </c>
      <c r="I152" s="283" t="s">
        <v>1795</v>
      </c>
      <c r="J152" s="779">
        <v>5.23</v>
      </c>
      <c r="K152" s="780"/>
    </row>
    <row r="153" spans="1:11" ht="21.95" customHeight="1" x14ac:dyDescent="0.2">
      <c r="A153" s="282" t="s">
        <v>1276</v>
      </c>
      <c r="B153" s="282"/>
      <c r="C153" s="283" t="s">
        <v>4004</v>
      </c>
      <c r="D153" s="282" t="s">
        <v>1250</v>
      </c>
      <c r="E153" s="282" t="s">
        <v>4005</v>
      </c>
      <c r="F153" s="282" t="s">
        <v>1278</v>
      </c>
      <c r="G153" s="284" t="s">
        <v>71</v>
      </c>
      <c r="H153" s="283" t="s">
        <v>4013</v>
      </c>
      <c r="I153" s="283" t="s">
        <v>2104</v>
      </c>
      <c r="J153" s="779">
        <v>0.11</v>
      </c>
      <c r="K153" s="780"/>
    </row>
    <row r="154" spans="1:11" ht="21.95" customHeight="1" x14ac:dyDescent="0.2">
      <c r="A154" s="282" t="s">
        <v>1276</v>
      </c>
      <c r="B154" s="282"/>
      <c r="C154" s="283" t="s">
        <v>4006</v>
      </c>
      <c r="D154" s="282" t="s">
        <v>1250</v>
      </c>
      <c r="E154" s="282" t="s">
        <v>4007</v>
      </c>
      <c r="F154" s="282" t="s">
        <v>1278</v>
      </c>
      <c r="G154" s="284" t="s">
        <v>71</v>
      </c>
      <c r="H154" s="283" t="s">
        <v>4013</v>
      </c>
      <c r="I154" s="283" t="s">
        <v>1430</v>
      </c>
      <c r="J154" s="779">
        <v>0</v>
      </c>
      <c r="K154" s="780"/>
    </row>
    <row r="155" spans="1:11" ht="21.95" customHeight="1" thickBot="1" x14ac:dyDescent="0.25">
      <c r="A155" s="282" t="s">
        <v>1276</v>
      </c>
      <c r="B155" s="282"/>
      <c r="C155" s="283" t="s">
        <v>4014</v>
      </c>
      <c r="D155" s="282" t="s">
        <v>1246</v>
      </c>
      <c r="E155" s="282" t="s">
        <v>4015</v>
      </c>
      <c r="F155" s="282" t="s">
        <v>1278</v>
      </c>
      <c r="G155" s="284" t="s">
        <v>52</v>
      </c>
      <c r="H155" s="283" t="s">
        <v>1262</v>
      </c>
      <c r="I155" s="283" t="s">
        <v>4016</v>
      </c>
      <c r="J155" s="770">
        <v>45</v>
      </c>
      <c r="K155" s="771"/>
    </row>
    <row r="156" spans="1:11" ht="0.95" customHeight="1" thickTop="1" x14ac:dyDescent="0.2">
      <c r="A156" s="281"/>
      <c r="B156" s="281"/>
      <c r="C156" s="281"/>
      <c r="D156" s="281"/>
      <c r="E156" s="281"/>
      <c r="F156" s="281"/>
      <c r="G156" s="281"/>
      <c r="H156" s="281"/>
      <c r="I156" s="281"/>
      <c r="J156" s="421"/>
      <c r="K156" s="421"/>
    </row>
    <row r="157" spans="1:11" ht="18" customHeight="1" x14ac:dyDescent="0.2">
      <c r="A157" s="272"/>
      <c r="B157" s="272" t="s">
        <v>54</v>
      </c>
      <c r="C157" s="273" t="s">
        <v>1239</v>
      </c>
      <c r="D157" s="272" t="s">
        <v>1240</v>
      </c>
      <c r="E157" s="272" t="s">
        <v>1241</v>
      </c>
      <c r="F157" s="272" t="s">
        <v>1242</v>
      </c>
      <c r="G157" s="274" t="s">
        <v>60</v>
      </c>
      <c r="H157" s="273" t="s">
        <v>58</v>
      </c>
      <c r="I157" s="273" t="s">
        <v>1243</v>
      </c>
      <c r="J157" s="775" t="s">
        <v>196</v>
      </c>
      <c r="K157" s="776"/>
    </row>
    <row r="158" spans="1:11" ht="33" customHeight="1" x14ac:dyDescent="0.2">
      <c r="A158" s="275" t="s">
        <v>1244</v>
      </c>
      <c r="B158" s="275" t="s">
        <v>4017</v>
      </c>
      <c r="C158" s="276" t="s">
        <v>1696</v>
      </c>
      <c r="D158" s="275" t="s">
        <v>1246</v>
      </c>
      <c r="E158" s="275" t="s">
        <v>339</v>
      </c>
      <c r="F158" s="275" t="s">
        <v>1252</v>
      </c>
      <c r="G158" s="277" t="s">
        <v>52</v>
      </c>
      <c r="H158" s="276">
        <v>1</v>
      </c>
      <c r="I158" s="276" t="s">
        <v>1697</v>
      </c>
      <c r="J158" s="777" t="s">
        <v>1697</v>
      </c>
      <c r="K158" s="778"/>
    </row>
    <row r="159" spans="1:11" ht="21.95" customHeight="1" x14ac:dyDescent="0.2">
      <c r="A159" s="278" t="s">
        <v>1248</v>
      </c>
      <c r="B159" s="278"/>
      <c r="C159" s="279" t="s">
        <v>1698</v>
      </c>
      <c r="D159" s="278" t="s">
        <v>1250</v>
      </c>
      <c r="E159" s="278" t="s">
        <v>1699</v>
      </c>
      <c r="F159" s="278" t="s">
        <v>1252</v>
      </c>
      <c r="G159" s="280" t="s">
        <v>1253</v>
      </c>
      <c r="H159" s="279" t="s">
        <v>1700</v>
      </c>
      <c r="I159" s="279" t="s">
        <v>1701</v>
      </c>
      <c r="J159" s="781">
        <v>48.75</v>
      </c>
      <c r="K159" s="782"/>
    </row>
    <row r="160" spans="1:11" ht="21.95" customHeight="1" x14ac:dyDescent="0.2">
      <c r="A160" s="278" t="s">
        <v>1248</v>
      </c>
      <c r="B160" s="278"/>
      <c r="C160" s="279" t="s">
        <v>1702</v>
      </c>
      <c r="D160" s="278" t="s">
        <v>1250</v>
      </c>
      <c r="E160" s="278" t="s">
        <v>1703</v>
      </c>
      <c r="F160" s="278" t="s">
        <v>1252</v>
      </c>
      <c r="G160" s="280" t="s">
        <v>1253</v>
      </c>
      <c r="H160" s="279" t="s">
        <v>1700</v>
      </c>
      <c r="I160" s="279" t="s">
        <v>1704</v>
      </c>
      <c r="J160" s="781">
        <v>51.17</v>
      </c>
      <c r="K160" s="782"/>
    </row>
    <row r="161" spans="1:11" ht="21.95" customHeight="1" x14ac:dyDescent="0.2">
      <c r="A161" s="278" t="s">
        <v>1248</v>
      </c>
      <c r="B161" s="278"/>
      <c r="C161" s="279" t="s">
        <v>1427</v>
      </c>
      <c r="D161" s="278" t="s">
        <v>1250</v>
      </c>
      <c r="E161" s="278" t="s">
        <v>1428</v>
      </c>
      <c r="F161" s="278" t="s">
        <v>1252</v>
      </c>
      <c r="G161" s="280" t="s">
        <v>1253</v>
      </c>
      <c r="H161" s="279" t="s">
        <v>1705</v>
      </c>
      <c r="I161" s="279" t="s">
        <v>1299</v>
      </c>
      <c r="J161" s="781">
        <v>39.78</v>
      </c>
      <c r="K161" s="782"/>
    </row>
    <row r="162" spans="1:11" ht="21.95" customHeight="1" x14ac:dyDescent="0.2">
      <c r="A162" s="278" t="s">
        <v>1248</v>
      </c>
      <c r="B162" s="278"/>
      <c r="C162" s="279" t="s">
        <v>1706</v>
      </c>
      <c r="D162" s="278" t="s">
        <v>1250</v>
      </c>
      <c r="E162" s="278" t="s">
        <v>1707</v>
      </c>
      <c r="F162" s="278" t="s">
        <v>1252</v>
      </c>
      <c r="G162" s="280" t="s">
        <v>1253</v>
      </c>
      <c r="H162" s="279" t="s">
        <v>1705</v>
      </c>
      <c r="I162" s="279" t="s">
        <v>1708</v>
      </c>
      <c r="J162" s="781">
        <v>32.54</v>
      </c>
      <c r="K162" s="782"/>
    </row>
    <row r="163" spans="1:11" ht="21.95" customHeight="1" x14ac:dyDescent="0.2">
      <c r="A163" s="278" t="s">
        <v>1248</v>
      </c>
      <c r="B163" s="278"/>
      <c r="C163" s="279" t="s">
        <v>1269</v>
      </c>
      <c r="D163" s="278" t="s">
        <v>1250</v>
      </c>
      <c r="E163" s="278" t="s">
        <v>1270</v>
      </c>
      <c r="F163" s="278" t="s">
        <v>1252</v>
      </c>
      <c r="G163" s="280" t="s">
        <v>1253</v>
      </c>
      <c r="H163" s="279" t="s">
        <v>1709</v>
      </c>
      <c r="I163" s="279" t="s">
        <v>1272</v>
      </c>
      <c r="J163" s="781">
        <v>32.64</v>
      </c>
      <c r="K163" s="782"/>
    </row>
    <row r="164" spans="1:11" ht="21.95" customHeight="1" x14ac:dyDescent="0.2">
      <c r="A164" s="278" t="s">
        <v>1248</v>
      </c>
      <c r="B164" s="278"/>
      <c r="C164" s="279" t="s">
        <v>1273</v>
      </c>
      <c r="D164" s="278" t="s">
        <v>1250</v>
      </c>
      <c r="E164" s="278" t="s">
        <v>1274</v>
      </c>
      <c r="F164" s="278" t="s">
        <v>1252</v>
      </c>
      <c r="G164" s="280" t="s">
        <v>1253</v>
      </c>
      <c r="H164" s="279" t="s">
        <v>1710</v>
      </c>
      <c r="I164" s="279" t="s">
        <v>1275</v>
      </c>
      <c r="J164" s="781">
        <v>173.62</v>
      </c>
      <c r="K164" s="782"/>
    </row>
    <row r="165" spans="1:11" ht="21.95" customHeight="1" x14ac:dyDescent="0.2">
      <c r="A165" s="278" t="s">
        <v>1248</v>
      </c>
      <c r="B165" s="278"/>
      <c r="C165" s="279" t="s">
        <v>1297</v>
      </c>
      <c r="D165" s="278" t="s">
        <v>1250</v>
      </c>
      <c r="E165" s="278" t="s">
        <v>1298</v>
      </c>
      <c r="F165" s="278" t="s">
        <v>1252</v>
      </c>
      <c r="G165" s="280" t="s">
        <v>1253</v>
      </c>
      <c r="H165" s="279" t="s">
        <v>1700</v>
      </c>
      <c r="I165" s="279" t="s">
        <v>1299</v>
      </c>
      <c r="J165" s="781">
        <v>59.5</v>
      </c>
      <c r="K165" s="782"/>
    </row>
    <row r="166" spans="1:11" ht="21.95" customHeight="1" x14ac:dyDescent="0.2">
      <c r="A166" s="282" t="s">
        <v>1276</v>
      </c>
      <c r="B166" s="282"/>
      <c r="C166" s="283" t="s">
        <v>1663</v>
      </c>
      <c r="D166" s="282" t="s">
        <v>1250</v>
      </c>
      <c r="E166" s="282" t="s">
        <v>1664</v>
      </c>
      <c r="F166" s="282" t="s">
        <v>1278</v>
      </c>
      <c r="G166" s="284" t="s">
        <v>71</v>
      </c>
      <c r="H166" s="283" t="s">
        <v>1711</v>
      </c>
      <c r="I166" s="283" t="s">
        <v>1666</v>
      </c>
      <c r="J166" s="779">
        <v>3.71</v>
      </c>
      <c r="K166" s="780"/>
    </row>
    <row r="167" spans="1:11" ht="21.95" customHeight="1" x14ac:dyDescent="0.2">
      <c r="A167" s="282" t="s">
        <v>1276</v>
      </c>
      <c r="B167" s="282"/>
      <c r="C167" s="283" t="s">
        <v>1595</v>
      </c>
      <c r="D167" s="282" t="s">
        <v>1250</v>
      </c>
      <c r="E167" s="282" t="s">
        <v>1596</v>
      </c>
      <c r="F167" s="282" t="s">
        <v>1278</v>
      </c>
      <c r="G167" s="284" t="s">
        <v>77</v>
      </c>
      <c r="H167" s="283" t="s">
        <v>1712</v>
      </c>
      <c r="I167" s="283" t="s">
        <v>1598</v>
      </c>
      <c r="J167" s="779">
        <v>87.64</v>
      </c>
      <c r="K167" s="780"/>
    </row>
    <row r="168" spans="1:11" ht="21.95" customHeight="1" x14ac:dyDescent="0.2">
      <c r="A168" s="282" t="s">
        <v>1276</v>
      </c>
      <c r="B168" s="282"/>
      <c r="C168" s="283" t="s">
        <v>1713</v>
      </c>
      <c r="D168" s="282" t="s">
        <v>1250</v>
      </c>
      <c r="E168" s="282" t="s">
        <v>1714</v>
      </c>
      <c r="F168" s="282" t="s">
        <v>1278</v>
      </c>
      <c r="G168" s="284" t="s">
        <v>71</v>
      </c>
      <c r="H168" s="283" t="s">
        <v>1715</v>
      </c>
      <c r="I168" s="283" t="s">
        <v>1716</v>
      </c>
      <c r="J168" s="779">
        <v>142.71</v>
      </c>
      <c r="K168" s="780"/>
    </row>
    <row r="169" spans="1:11" ht="21.95" customHeight="1" x14ac:dyDescent="0.2">
      <c r="A169" s="282" t="s">
        <v>1276</v>
      </c>
      <c r="B169" s="282"/>
      <c r="C169" s="283" t="s">
        <v>1587</v>
      </c>
      <c r="D169" s="282" t="s">
        <v>1250</v>
      </c>
      <c r="E169" s="282" t="s">
        <v>1588</v>
      </c>
      <c r="F169" s="282" t="s">
        <v>1278</v>
      </c>
      <c r="G169" s="284" t="s">
        <v>75</v>
      </c>
      <c r="H169" s="283" t="s">
        <v>1717</v>
      </c>
      <c r="I169" s="283" t="s">
        <v>1590</v>
      </c>
      <c r="J169" s="779">
        <v>10.3</v>
      </c>
      <c r="K169" s="780"/>
    </row>
    <row r="170" spans="1:11" ht="33" customHeight="1" x14ac:dyDescent="0.2">
      <c r="A170" s="282" t="s">
        <v>1276</v>
      </c>
      <c r="B170" s="282"/>
      <c r="C170" s="283" t="s">
        <v>1718</v>
      </c>
      <c r="D170" s="282" t="s">
        <v>1250</v>
      </c>
      <c r="E170" s="282" t="s">
        <v>1719</v>
      </c>
      <c r="F170" s="282" t="s">
        <v>1278</v>
      </c>
      <c r="G170" s="284" t="s">
        <v>75</v>
      </c>
      <c r="H170" s="283" t="s">
        <v>1720</v>
      </c>
      <c r="I170" s="283" t="s">
        <v>1721</v>
      </c>
      <c r="J170" s="779">
        <v>564.05999999999995</v>
      </c>
      <c r="K170" s="780"/>
    </row>
    <row r="171" spans="1:11" ht="21.95" customHeight="1" x14ac:dyDescent="0.2">
      <c r="A171" s="282" t="s">
        <v>1276</v>
      </c>
      <c r="B171" s="282"/>
      <c r="C171" s="283" t="s">
        <v>1466</v>
      </c>
      <c r="D171" s="282" t="s">
        <v>1250</v>
      </c>
      <c r="E171" s="282" t="s">
        <v>1467</v>
      </c>
      <c r="F171" s="282" t="s">
        <v>1278</v>
      </c>
      <c r="G171" s="284" t="s">
        <v>71</v>
      </c>
      <c r="H171" s="283" t="s">
        <v>1722</v>
      </c>
      <c r="I171" s="283" t="s">
        <v>1469</v>
      </c>
      <c r="J171" s="779">
        <v>10.23</v>
      </c>
      <c r="K171" s="780"/>
    </row>
    <row r="172" spans="1:11" ht="21.95" customHeight="1" x14ac:dyDescent="0.2">
      <c r="A172" s="282" t="s">
        <v>1276</v>
      </c>
      <c r="B172" s="282"/>
      <c r="C172" s="283" t="s">
        <v>1603</v>
      </c>
      <c r="D172" s="282" t="s">
        <v>1250</v>
      </c>
      <c r="E172" s="282" t="s">
        <v>1604</v>
      </c>
      <c r="F172" s="282" t="s">
        <v>1278</v>
      </c>
      <c r="G172" s="284" t="s">
        <v>71</v>
      </c>
      <c r="H172" s="283" t="s">
        <v>1723</v>
      </c>
      <c r="I172" s="283" t="s">
        <v>1605</v>
      </c>
      <c r="J172" s="779">
        <v>3.61</v>
      </c>
      <c r="K172" s="780"/>
    </row>
    <row r="173" spans="1:11" ht="21.95" customHeight="1" x14ac:dyDescent="0.2">
      <c r="A173" s="282" t="s">
        <v>1276</v>
      </c>
      <c r="B173" s="282"/>
      <c r="C173" s="283" t="s">
        <v>1724</v>
      </c>
      <c r="D173" s="282" t="s">
        <v>1250</v>
      </c>
      <c r="E173" s="282" t="s">
        <v>1725</v>
      </c>
      <c r="F173" s="282" t="s">
        <v>1278</v>
      </c>
      <c r="G173" s="284" t="s">
        <v>749</v>
      </c>
      <c r="H173" s="283" t="s">
        <v>1391</v>
      </c>
      <c r="I173" s="283" t="s">
        <v>1726</v>
      </c>
      <c r="J173" s="779">
        <v>10.85</v>
      </c>
      <c r="K173" s="780"/>
    </row>
    <row r="174" spans="1:11" ht="21.95" customHeight="1" x14ac:dyDescent="0.2">
      <c r="A174" s="282" t="s">
        <v>1276</v>
      </c>
      <c r="B174" s="282"/>
      <c r="C174" s="283" t="s">
        <v>1727</v>
      </c>
      <c r="D174" s="282" t="s">
        <v>1250</v>
      </c>
      <c r="E174" s="282" t="s">
        <v>1728</v>
      </c>
      <c r="F174" s="282" t="s">
        <v>1278</v>
      </c>
      <c r="G174" s="284" t="s">
        <v>71</v>
      </c>
      <c r="H174" s="283" t="s">
        <v>1729</v>
      </c>
      <c r="I174" s="283" t="s">
        <v>1730</v>
      </c>
      <c r="J174" s="779">
        <v>44.8</v>
      </c>
      <c r="K174" s="780"/>
    </row>
    <row r="175" spans="1:11" ht="21.95" customHeight="1" x14ac:dyDescent="0.2">
      <c r="A175" s="282" t="s">
        <v>1276</v>
      </c>
      <c r="B175" s="282"/>
      <c r="C175" s="283" t="s">
        <v>1579</v>
      </c>
      <c r="D175" s="282" t="s">
        <v>1250</v>
      </c>
      <c r="E175" s="282" t="s">
        <v>1580</v>
      </c>
      <c r="F175" s="282" t="s">
        <v>1278</v>
      </c>
      <c r="G175" s="284" t="s">
        <v>153</v>
      </c>
      <c r="H175" s="283" t="s">
        <v>1731</v>
      </c>
      <c r="I175" s="283" t="s">
        <v>1421</v>
      </c>
      <c r="J175" s="779">
        <v>7.72</v>
      </c>
      <c r="K175" s="780"/>
    </row>
    <row r="176" spans="1:11" ht="21.95" customHeight="1" x14ac:dyDescent="0.2">
      <c r="A176" s="282" t="s">
        <v>1276</v>
      </c>
      <c r="B176" s="282"/>
      <c r="C176" s="283" t="s">
        <v>1517</v>
      </c>
      <c r="D176" s="282" t="s">
        <v>1250</v>
      </c>
      <c r="E176" s="282" t="s">
        <v>1518</v>
      </c>
      <c r="F176" s="282" t="s">
        <v>1278</v>
      </c>
      <c r="G176" s="284" t="s">
        <v>153</v>
      </c>
      <c r="H176" s="283" t="s">
        <v>1689</v>
      </c>
      <c r="I176" s="283" t="s">
        <v>1520</v>
      </c>
      <c r="J176" s="779">
        <v>25</v>
      </c>
      <c r="K176" s="780"/>
    </row>
    <row r="177" spans="1:11" ht="21.95" customHeight="1" x14ac:dyDescent="0.2">
      <c r="A177" s="282" t="s">
        <v>1276</v>
      </c>
      <c r="B177" s="282"/>
      <c r="C177" s="283" t="s">
        <v>1632</v>
      </c>
      <c r="D177" s="282" t="s">
        <v>1250</v>
      </c>
      <c r="E177" s="282" t="s">
        <v>1633</v>
      </c>
      <c r="F177" s="282" t="s">
        <v>1278</v>
      </c>
      <c r="G177" s="284" t="s">
        <v>52</v>
      </c>
      <c r="H177" s="283" t="s">
        <v>1732</v>
      </c>
      <c r="I177" s="283" t="s">
        <v>1634</v>
      </c>
      <c r="J177" s="779">
        <v>5.77</v>
      </c>
      <c r="K177" s="780"/>
    </row>
    <row r="178" spans="1:11" ht="21.95" customHeight="1" x14ac:dyDescent="0.2">
      <c r="A178" s="282" t="s">
        <v>1276</v>
      </c>
      <c r="B178" s="282"/>
      <c r="C178" s="283" t="s">
        <v>1733</v>
      </c>
      <c r="D178" s="282" t="s">
        <v>1250</v>
      </c>
      <c r="E178" s="282" t="s">
        <v>1734</v>
      </c>
      <c r="F178" s="282" t="s">
        <v>1278</v>
      </c>
      <c r="G178" s="284" t="s">
        <v>749</v>
      </c>
      <c r="H178" s="283" t="s">
        <v>1488</v>
      </c>
      <c r="I178" s="283" t="s">
        <v>1735</v>
      </c>
      <c r="J178" s="779">
        <v>22.72</v>
      </c>
      <c r="K178" s="780"/>
    </row>
    <row r="179" spans="1:11" ht="21.95" customHeight="1" x14ac:dyDescent="0.2">
      <c r="A179" s="282" t="s">
        <v>1276</v>
      </c>
      <c r="B179" s="282"/>
      <c r="C179" s="283" t="s">
        <v>1736</v>
      </c>
      <c r="D179" s="282" t="s">
        <v>1250</v>
      </c>
      <c r="E179" s="282" t="s">
        <v>1737</v>
      </c>
      <c r="F179" s="282" t="s">
        <v>1278</v>
      </c>
      <c r="G179" s="284" t="s">
        <v>153</v>
      </c>
      <c r="H179" s="283" t="s">
        <v>1738</v>
      </c>
      <c r="I179" s="283" t="s">
        <v>1739</v>
      </c>
      <c r="J179" s="779">
        <v>23.42</v>
      </c>
      <c r="K179" s="780"/>
    </row>
    <row r="180" spans="1:11" ht="33" customHeight="1" x14ac:dyDescent="0.2">
      <c r="A180" s="282" t="s">
        <v>1276</v>
      </c>
      <c r="B180" s="282"/>
      <c r="C180" s="283" t="s">
        <v>1740</v>
      </c>
      <c r="D180" s="282" t="s">
        <v>1250</v>
      </c>
      <c r="E180" s="282" t="s">
        <v>1741</v>
      </c>
      <c r="F180" s="282" t="s">
        <v>1278</v>
      </c>
      <c r="G180" s="284" t="s">
        <v>75</v>
      </c>
      <c r="H180" s="283" t="s">
        <v>1742</v>
      </c>
      <c r="I180" s="283" t="s">
        <v>1743</v>
      </c>
      <c r="J180" s="779">
        <v>504.57</v>
      </c>
      <c r="K180" s="780"/>
    </row>
    <row r="181" spans="1:11" ht="21.95" customHeight="1" x14ac:dyDescent="0.2">
      <c r="A181" s="282" t="s">
        <v>1276</v>
      </c>
      <c r="B181" s="282"/>
      <c r="C181" s="283" t="s">
        <v>1462</v>
      </c>
      <c r="D181" s="282" t="s">
        <v>1250</v>
      </c>
      <c r="E181" s="282" t="s">
        <v>1463</v>
      </c>
      <c r="F181" s="282" t="s">
        <v>1278</v>
      </c>
      <c r="G181" s="284" t="s">
        <v>749</v>
      </c>
      <c r="H181" s="283" t="s">
        <v>1722</v>
      </c>
      <c r="I181" s="283" t="s">
        <v>1465</v>
      </c>
      <c r="J181" s="779">
        <v>16.09</v>
      </c>
      <c r="K181" s="780"/>
    </row>
    <row r="182" spans="1:11" ht="21.95" customHeight="1" thickBot="1" x14ac:dyDescent="0.25">
      <c r="A182" s="282" t="s">
        <v>1276</v>
      </c>
      <c r="B182" s="282"/>
      <c r="C182" s="283" t="s">
        <v>1606</v>
      </c>
      <c r="D182" s="282" t="s">
        <v>1250</v>
      </c>
      <c r="E182" s="282" t="s">
        <v>1607</v>
      </c>
      <c r="F182" s="282" t="s">
        <v>1278</v>
      </c>
      <c r="G182" s="284" t="s">
        <v>71</v>
      </c>
      <c r="H182" s="283" t="s">
        <v>1744</v>
      </c>
      <c r="I182" s="283" t="s">
        <v>1609</v>
      </c>
      <c r="J182" s="770">
        <v>10.44</v>
      </c>
      <c r="K182" s="771"/>
    </row>
    <row r="183" spans="1:11" ht="0.95" customHeight="1" thickTop="1" x14ac:dyDescent="0.2">
      <c r="A183" s="281"/>
      <c r="B183" s="281"/>
      <c r="C183" s="281"/>
      <c r="D183" s="281"/>
      <c r="E183" s="281"/>
      <c r="F183" s="281"/>
      <c r="G183" s="281"/>
      <c r="H183" s="281"/>
      <c r="I183" s="281"/>
      <c r="J183" s="421"/>
      <c r="K183" s="421"/>
    </row>
    <row r="184" spans="1:11" ht="18" customHeight="1" x14ac:dyDescent="0.2">
      <c r="A184" s="272"/>
      <c r="B184" s="272" t="s">
        <v>54</v>
      </c>
      <c r="C184" s="273" t="s">
        <v>1239</v>
      </c>
      <c r="D184" s="272" t="s">
        <v>1240</v>
      </c>
      <c r="E184" s="272" t="s">
        <v>1241</v>
      </c>
      <c r="F184" s="272" t="s">
        <v>1242</v>
      </c>
      <c r="G184" s="274" t="s">
        <v>60</v>
      </c>
      <c r="H184" s="273" t="s">
        <v>58</v>
      </c>
      <c r="I184" s="273" t="s">
        <v>1243</v>
      </c>
      <c r="J184" s="775" t="s">
        <v>196</v>
      </c>
      <c r="K184" s="776"/>
    </row>
    <row r="185" spans="1:11" ht="21.95" customHeight="1" x14ac:dyDescent="0.2">
      <c r="A185" s="275" t="s">
        <v>1244</v>
      </c>
      <c r="B185" s="275" t="s">
        <v>4018</v>
      </c>
      <c r="C185" s="276" t="s">
        <v>1692</v>
      </c>
      <c r="D185" s="275" t="s">
        <v>1246</v>
      </c>
      <c r="E185" s="275" t="s">
        <v>342</v>
      </c>
      <c r="F185" s="275" t="s">
        <v>1252</v>
      </c>
      <c r="G185" s="277" t="s">
        <v>52</v>
      </c>
      <c r="H185" s="276">
        <v>1</v>
      </c>
      <c r="I185" s="276" t="s">
        <v>1693</v>
      </c>
      <c r="J185" s="777" t="s">
        <v>1693</v>
      </c>
      <c r="K185" s="778"/>
    </row>
    <row r="186" spans="1:11" ht="21.95" customHeight="1" thickBot="1" x14ac:dyDescent="0.25">
      <c r="A186" s="282" t="s">
        <v>1276</v>
      </c>
      <c r="B186" s="282"/>
      <c r="C186" s="283" t="s">
        <v>1694</v>
      </c>
      <c r="D186" s="282" t="s">
        <v>1246</v>
      </c>
      <c r="E186" s="282" t="s">
        <v>1695</v>
      </c>
      <c r="F186" s="282" t="s">
        <v>1278</v>
      </c>
      <c r="G186" s="284" t="s">
        <v>52</v>
      </c>
      <c r="H186" s="283" t="s">
        <v>1262</v>
      </c>
      <c r="I186" s="283" t="s">
        <v>1693</v>
      </c>
      <c r="J186" s="770">
        <v>1500</v>
      </c>
      <c r="K186" s="771"/>
    </row>
    <row r="187" spans="1:11" ht="0.95" customHeight="1" thickTop="1" x14ac:dyDescent="0.2">
      <c r="A187" s="281"/>
      <c r="B187" s="281"/>
      <c r="C187" s="281"/>
      <c r="D187" s="281"/>
      <c r="E187" s="281"/>
      <c r="F187" s="281"/>
      <c r="G187" s="281"/>
      <c r="H187" s="281"/>
      <c r="I187" s="281"/>
      <c r="J187" s="421"/>
      <c r="K187" s="421"/>
    </row>
    <row r="188" spans="1:11" ht="18" customHeight="1" x14ac:dyDescent="0.2">
      <c r="A188" s="272"/>
      <c r="B188" s="272" t="s">
        <v>54</v>
      </c>
      <c r="C188" s="273" t="s">
        <v>1239</v>
      </c>
      <c r="D188" s="272" t="s">
        <v>1240</v>
      </c>
      <c r="E188" s="272" t="s">
        <v>1241</v>
      </c>
      <c r="F188" s="272" t="s">
        <v>1242</v>
      </c>
      <c r="G188" s="274" t="s">
        <v>60</v>
      </c>
      <c r="H188" s="273" t="s">
        <v>58</v>
      </c>
      <c r="I188" s="273" t="s">
        <v>1243</v>
      </c>
      <c r="J188" s="775" t="s">
        <v>196</v>
      </c>
      <c r="K188" s="776"/>
    </row>
    <row r="189" spans="1:11" ht="21.95" customHeight="1" x14ac:dyDescent="0.2">
      <c r="A189" s="275" t="s">
        <v>1244</v>
      </c>
      <c r="B189" s="275" t="s">
        <v>4019</v>
      </c>
      <c r="C189" s="276" t="s">
        <v>1749</v>
      </c>
      <c r="D189" s="275" t="s">
        <v>1246</v>
      </c>
      <c r="E189" s="275" t="s">
        <v>545</v>
      </c>
      <c r="F189" s="275" t="s">
        <v>1750</v>
      </c>
      <c r="G189" s="277" t="s">
        <v>77</v>
      </c>
      <c r="H189" s="276">
        <v>1</v>
      </c>
      <c r="I189" s="276" t="s">
        <v>1751</v>
      </c>
      <c r="J189" s="777" t="s">
        <v>1751</v>
      </c>
      <c r="K189" s="778"/>
    </row>
    <row r="190" spans="1:11" ht="21.95" customHeight="1" x14ac:dyDescent="0.2">
      <c r="A190" s="278" t="s">
        <v>1248</v>
      </c>
      <c r="B190" s="278"/>
      <c r="C190" s="279" t="s">
        <v>1269</v>
      </c>
      <c r="D190" s="278" t="s">
        <v>1250</v>
      </c>
      <c r="E190" s="278" t="s">
        <v>1270</v>
      </c>
      <c r="F190" s="278" t="s">
        <v>1252</v>
      </c>
      <c r="G190" s="280" t="s">
        <v>1253</v>
      </c>
      <c r="H190" s="279" t="s">
        <v>1529</v>
      </c>
      <c r="I190" s="279" t="s">
        <v>1272</v>
      </c>
      <c r="J190" s="781">
        <v>11.1</v>
      </c>
      <c r="K190" s="782"/>
    </row>
    <row r="191" spans="1:11" ht="21.95" customHeight="1" x14ac:dyDescent="0.2">
      <c r="A191" s="278" t="s">
        <v>1248</v>
      </c>
      <c r="B191" s="278"/>
      <c r="C191" s="279" t="s">
        <v>1273</v>
      </c>
      <c r="D191" s="278" t="s">
        <v>1250</v>
      </c>
      <c r="E191" s="278" t="s">
        <v>1274</v>
      </c>
      <c r="F191" s="278" t="s">
        <v>1252</v>
      </c>
      <c r="G191" s="280" t="s">
        <v>1253</v>
      </c>
      <c r="H191" s="279" t="s">
        <v>1752</v>
      </c>
      <c r="I191" s="279" t="s">
        <v>1275</v>
      </c>
      <c r="J191" s="781">
        <v>15.83</v>
      </c>
      <c r="K191" s="782"/>
    </row>
    <row r="192" spans="1:11" ht="21.95" customHeight="1" x14ac:dyDescent="0.2">
      <c r="A192" s="282" t="s">
        <v>1276</v>
      </c>
      <c r="B192" s="282"/>
      <c r="C192" s="283" t="s">
        <v>1753</v>
      </c>
      <c r="D192" s="282" t="s">
        <v>1250</v>
      </c>
      <c r="E192" s="282" t="s">
        <v>1754</v>
      </c>
      <c r="F192" s="282" t="s">
        <v>1278</v>
      </c>
      <c r="G192" s="284" t="s">
        <v>71</v>
      </c>
      <c r="H192" s="283" t="s">
        <v>1755</v>
      </c>
      <c r="I192" s="283" t="s">
        <v>1756</v>
      </c>
      <c r="J192" s="779">
        <v>8.35</v>
      </c>
      <c r="K192" s="780"/>
    </row>
    <row r="193" spans="1:11" ht="21.95" customHeight="1" thickBot="1" x14ac:dyDescent="0.25">
      <c r="A193" s="282" t="s">
        <v>1276</v>
      </c>
      <c r="B193" s="282"/>
      <c r="C193" s="283" t="s">
        <v>1757</v>
      </c>
      <c r="D193" s="282" t="s">
        <v>1246</v>
      </c>
      <c r="E193" s="282" t="s">
        <v>1000</v>
      </c>
      <c r="F193" s="282" t="s">
        <v>1278</v>
      </c>
      <c r="G193" s="284" t="s">
        <v>77</v>
      </c>
      <c r="H193" s="283" t="s">
        <v>1262</v>
      </c>
      <c r="I193" s="283" t="s">
        <v>1758</v>
      </c>
      <c r="J193" s="770">
        <v>455</v>
      </c>
      <c r="K193" s="771"/>
    </row>
    <row r="194" spans="1:11" ht="0.95" customHeight="1" thickTop="1" x14ac:dyDescent="0.2">
      <c r="A194" s="281"/>
      <c r="B194" s="281"/>
      <c r="C194" s="281"/>
      <c r="D194" s="281"/>
      <c r="E194" s="281"/>
      <c r="F194" s="281"/>
      <c r="G194" s="281"/>
      <c r="H194" s="281"/>
      <c r="I194" s="281"/>
      <c r="J194" s="421"/>
      <c r="K194" s="421"/>
    </row>
    <row r="195" spans="1:11" ht="18" customHeight="1" x14ac:dyDescent="0.2">
      <c r="A195" s="272"/>
      <c r="B195" s="272" t="s">
        <v>54</v>
      </c>
      <c r="C195" s="273" t="s">
        <v>1239</v>
      </c>
      <c r="D195" s="272" t="s">
        <v>1240</v>
      </c>
      <c r="E195" s="272" t="s">
        <v>1241</v>
      </c>
      <c r="F195" s="272" t="s">
        <v>1242</v>
      </c>
      <c r="G195" s="274" t="s">
        <v>60</v>
      </c>
      <c r="H195" s="273" t="s">
        <v>58</v>
      </c>
      <c r="I195" s="273" t="s">
        <v>1243</v>
      </c>
      <c r="J195" s="775" t="s">
        <v>196</v>
      </c>
      <c r="K195" s="776"/>
    </row>
    <row r="196" spans="1:11" ht="33" customHeight="1" x14ac:dyDescent="0.2">
      <c r="A196" s="275" t="s">
        <v>1244</v>
      </c>
      <c r="B196" s="275" t="s">
        <v>4020</v>
      </c>
      <c r="C196" s="276" t="s">
        <v>1745</v>
      </c>
      <c r="D196" s="275" t="s">
        <v>1246</v>
      </c>
      <c r="E196" s="275" t="s">
        <v>543</v>
      </c>
      <c r="F196" s="275" t="s">
        <v>1252</v>
      </c>
      <c r="G196" s="277" t="s">
        <v>52</v>
      </c>
      <c r="H196" s="276">
        <v>1</v>
      </c>
      <c r="I196" s="276" t="s">
        <v>1746</v>
      </c>
      <c r="J196" s="777" t="s">
        <v>1746</v>
      </c>
      <c r="K196" s="778"/>
    </row>
    <row r="197" spans="1:11" ht="33" customHeight="1" thickBot="1" x14ac:dyDescent="0.25">
      <c r="A197" s="282" t="s">
        <v>1276</v>
      </c>
      <c r="B197" s="282"/>
      <c r="C197" s="283" t="s">
        <v>1747</v>
      </c>
      <c r="D197" s="282" t="s">
        <v>1246</v>
      </c>
      <c r="E197" s="282" t="s">
        <v>1748</v>
      </c>
      <c r="F197" s="282" t="s">
        <v>1278</v>
      </c>
      <c r="G197" s="284" t="s">
        <v>52</v>
      </c>
      <c r="H197" s="283" t="s">
        <v>1262</v>
      </c>
      <c r="I197" s="283" t="s">
        <v>1746</v>
      </c>
      <c r="J197" s="770">
        <v>3800</v>
      </c>
      <c r="K197" s="771"/>
    </row>
    <row r="198" spans="1:11" ht="0.95" customHeight="1" thickTop="1" x14ac:dyDescent="0.2">
      <c r="A198" s="281"/>
      <c r="B198" s="281"/>
      <c r="C198" s="281"/>
      <c r="D198" s="281"/>
      <c r="E198" s="281"/>
      <c r="F198" s="281"/>
      <c r="G198" s="281"/>
      <c r="H198" s="281"/>
      <c r="I198" s="281"/>
      <c r="J198" s="421"/>
      <c r="K198" s="421"/>
    </row>
    <row r="199" spans="1:11" ht="18" customHeight="1" x14ac:dyDescent="0.2">
      <c r="A199" s="272"/>
      <c r="B199" s="272" t="s">
        <v>54</v>
      </c>
      <c r="C199" s="273" t="s">
        <v>1239</v>
      </c>
      <c r="D199" s="272" t="s">
        <v>1240</v>
      </c>
      <c r="E199" s="272" t="s">
        <v>1241</v>
      </c>
      <c r="F199" s="272" t="s">
        <v>1242</v>
      </c>
      <c r="G199" s="274" t="s">
        <v>60</v>
      </c>
      <c r="H199" s="273" t="s">
        <v>58</v>
      </c>
      <c r="I199" s="273" t="s">
        <v>1243</v>
      </c>
      <c r="J199" s="775" t="s">
        <v>196</v>
      </c>
      <c r="K199" s="776"/>
    </row>
    <row r="200" spans="1:11" ht="21.95" customHeight="1" x14ac:dyDescent="0.2">
      <c r="A200" s="275" t="s">
        <v>1244</v>
      </c>
      <c r="B200" s="275" t="s">
        <v>4021</v>
      </c>
      <c r="C200" s="276" t="s">
        <v>4022</v>
      </c>
      <c r="D200" s="275" t="s">
        <v>1246</v>
      </c>
      <c r="E200" s="275" t="s">
        <v>2784</v>
      </c>
      <c r="F200" s="275" t="s">
        <v>1252</v>
      </c>
      <c r="G200" s="277" t="s">
        <v>52</v>
      </c>
      <c r="H200" s="276">
        <v>1</v>
      </c>
      <c r="I200" s="276" t="s">
        <v>4023</v>
      </c>
      <c r="J200" s="777" t="s">
        <v>4023</v>
      </c>
      <c r="K200" s="778"/>
    </row>
    <row r="201" spans="1:11" ht="21.95" customHeight="1" thickBot="1" x14ac:dyDescent="0.25">
      <c r="A201" s="282" t="s">
        <v>1276</v>
      </c>
      <c r="B201" s="282"/>
      <c r="C201" s="283" t="s">
        <v>4024</v>
      </c>
      <c r="D201" s="282" t="s">
        <v>1246</v>
      </c>
      <c r="E201" s="282" t="s">
        <v>3904</v>
      </c>
      <c r="F201" s="282" t="s">
        <v>1278</v>
      </c>
      <c r="G201" s="284" t="s">
        <v>52</v>
      </c>
      <c r="H201" s="283" t="s">
        <v>1262</v>
      </c>
      <c r="I201" s="283" t="s">
        <v>4023</v>
      </c>
      <c r="J201" s="770">
        <v>1400</v>
      </c>
      <c r="K201" s="771"/>
    </row>
    <row r="202" spans="1:11" ht="0.95" customHeight="1" thickTop="1" x14ac:dyDescent="0.2">
      <c r="A202" s="281"/>
      <c r="B202" s="281"/>
      <c r="C202" s="281"/>
      <c r="D202" s="281"/>
      <c r="E202" s="281"/>
      <c r="F202" s="281"/>
      <c r="G202" s="281"/>
      <c r="H202" s="281"/>
      <c r="I202" s="281"/>
      <c r="J202" s="421"/>
      <c r="K202" s="421"/>
    </row>
    <row r="203" spans="1:11" ht="18" customHeight="1" x14ac:dyDescent="0.2">
      <c r="A203" s="272"/>
      <c r="B203" s="272" t="s">
        <v>54</v>
      </c>
      <c r="C203" s="273" t="s">
        <v>1239</v>
      </c>
      <c r="D203" s="272" t="s">
        <v>1240</v>
      </c>
      <c r="E203" s="272" t="s">
        <v>1241</v>
      </c>
      <c r="F203" s="272" t="s">
        <v>1242</v>
      </c>
      <c r="G203" s="274" t="s">
        <v>60</v>
      </c>
      <c r="H203" s="273" t="s">
        <v>58</v>
      </c>
      <c r="I203" s="273" t="s">
        <v>1243</v>
      </c>
      <c r="J203" s="775" t="s">
        <v>196</v>
      </c>
      <c r="K203" s="776"/>
    </row>
    <row r="204" spans="1:11" ht="21.95" customHeight="1" x14ac:dyDescent="0.2">
      <c r="A204" s="275" t="s">
        <v>1244</v>
      </c>
      <c r="B204" s="275" t="s">
        <v>4025</v>
      </c>
      <c r="C204" s="276" t="s">
        <v>1687</v>
      </c>
      <c r="D204" s="275" t="s">
        <v>1246</v>
      </c>
      <c r="E204" s="275" t="s">
        <v>542</v>
      </c>
      <c r="F204" s="275" t="s">
        <v>1252</v>
      </c>
      <c r="G204" s="277" t="s">
        <v>52</v>
      </c>
      <c r="H204" s="276">
        <v>1</v>
      </c>
      <c r="I204" s="276" t="s">
        <v>1688</v>
      </c>
      <c r="J204" s="777" t="s">
        <v>1688</v>
      </c>
      <c r="K204" s="778"/>
    </row>
    <row r="205" spans="1:11" ht="21.95" customHeight="1" x14ac:dyDescent="0.2">
      <c r="A205" s="278" t="s">
        <v>1248</v>
      </c>
      <c r="B205" s="278"/>
      <c r="C205" s="279" t="s">
        <v>1269</v>
      </c>
      <c r="D205" s="278" t="s">
        <v>1250</v>
      </c>
      <c r="E205" s="278" t="s">
        <v>1270</v>
      </c>
      <c r="F205" s="278" t="s">
        <v>1252</v>
      </c>
      <c r="G205" s="280" t="s">
        <v>1253</v>
      </c>
      <c r="H205" s="279" t="s">
        <v>1689</v>
      </c>
      <c r="I205" s="279" t="s">
        <v>1272</v>
      </c>
      <c r="J205" s="781">
        <v>8.5399999999999991</v>
      </c>
      <c r="K205" s="782"/>
    </row>
    <row r="206" spans="1:11" ht="21.95" customHeight="1" x14ac:dyDescent="0.2">
      <c r="A206" s="278" t="s">
        <v>1248</v>
      </c>
      <c r="B206" s="278"/>
      <c r="C206" s="279" t="s">
        <v>1273</v>
      </c>
      <c r="D206" s="278" t="s">
        <v>1250</v>
      </c>
      <c r="E206" s="278" t="s">
        <v>1274</v>
      </c>
      <c r="F206" s="278" t="s">
        <v>1252</v>
      </c>
      <c r="G206" s="280" t="s">
        <v>1253</v>
      </c>
      <c r="H206" s="279" t="s">
        <v>1689</v>
      </c>
      <c r="I206" s="279" t="s">
        <v>1275</v>
      </c>
      <c r="J206" s="781">
        <v>6.94</v>
      </c>
      <c r="K206" s="782"/>
    </row>
    <row r="207" spans="1:11" ht="21.95" customHeight="1" thickBot="1" x14ac:dyDescent="0.25">
      <c r="A207" s="282" t="s">
        <v>1276</v>
      </c>
      <c r="B207" s="282"/>
      <c r="C207" s="283" t="s">
        <v>1690</v>
      </c>
      <c r="D207" s="282" t="s">
        <v>1246</v>
      </c>
      <c r="E207" s="282" t="s">
        <v>973</v>
      </c>
      <c r="F207" s="282" t="s">
        <v>1278</v>
      </c>
      <c r="G207" s="284" t="s">
        <v>52</v>
      </c>
      <c r="H207" s="283" t="s">
        <v>1262</v>
      </c>
      <c r="I207" s="283" t="s">
        <v>1691</v>
      </c>
      <c r="J207" s="770">
        <v>129.94999999999999</v>
      </c>
      <c r="K207" s="771"/>
    </row>
    <row r="208" spans="1:11" ht="0.95" customHeight="1" thickTop="1" x14ac:dyDescent="0.2">
      <c r="A208" s="281"/>
      <c r="B208" s="281"/>
      <c r="C208" s="281"/>
      <c r="D208" s="281"/>
      <c r="E208" s="281"/>
      <c r="F208" s="281"/>
      <c r="G208" s="281"/>
      <c r="H208" s="281"/>
      <c r="I208" s="281"/>
      <c r="J208" s="421"/>
      <c r="K208" s="421"/>
    </row>
    <row r="209" spans="1:11" ht="18" customHeight="1" x14ac:dyDescent="0.2">
      <c r="A209" s="272"/>
      <c r="B209" s="272" t="s">
        <v>54</v>
      </c>
      <c r="C209" s="273" t="s">
        <v>1239</v>
      </c>
      <c r="D209" s="272" t="s">
        <v>1240</v>
      </c>
      <c r="E209" s="272" t="s">
        <v>1241</v>
      </c>
      <c r="F209" s="272" t="s">
        <v>1242</v>
      </c>
      <c r="G209" s="274" t="s">
        <v>60</v>
      </c>
      <c r="H209" s="273" t="s">
        <v>58</v>
      </c>
      <c r="I209" s="273" t="s">
        <v>1243</v>
      </c>
      <c r="J209" s="775" t="s">
        <v>196</v>
      </c>
      <c r="K209" s="776"/>
    </row>
    <row r="210" spans="1:11" ht="21.95" customHeight="1" x14ac:dyDescent="0.2">
      <c r="A210" s="275" t="s">
        <v>1244</v>
      </c>
      <c r="B210" s="275" t="s">
        <v>4026</v>
      </c>
      <c r="C210" s="276" t="s">
        <v>1759</v>
      </c>
      <c r="D210" s="275" t="s">
        <v>1246</v>
      </c>
      <c r="E210" s="275" t="s">
        <v>548</v>
      </c>
      <c r="F210" s="275" t="s">
        <v>1252</v>
      </c>
      <c r="G210" s="277" t="s">
        <v>52</v>
      </c>
      <c r="H210" s="276">
        <v>1</v>
      </c>
      <c r="I210" s="276" t="s">
        <v>1760</v>
      </c>
      <c r="J210" s="777" t="s">
        <v>1760</v>
      </c>
      <c r="K210" s="778"/>
    </row>
    <row r="211" spans="1:11" ht="21.95" customHeight="1" x14ac:dyDescent="0.2">
      <c r="A211" s="278" t="s">
        <v>1248</v>
      </c>
      <c r="B211" s="278"/>
      <c r="C211" s="279" t="s">
        <v>1269</v>
      </c>
      <c r="D211" s="278" t="s">
        <v>1250</v>
      </c>
      <c r="E211" s="278" t="s">
        <v>1270</v>
      </c>
      <c r="F211" s="278" t="s">
        <v>1252</v>
      </c>
      <c r="G211" s="280" t="s">
        <v>1253</v>
      </c>
      <c r="H211" s="279" t="s">
        <v>1262</v>
      </c>
      <c r="I211" s="279" t="s">
        <v>1272</v>
      </c>
      <c r="J211" s="781">
        <v>17.09</v>
      </c>
      <c r="K211" s="782"/>
    </row>
    <row r="212" spans="1:11" ht="21.95" customHeight="1" x14ac:dyDescent="0.2">
      <c r="A212" s="278" t="s">
        <v>1248</v>
      </c>
      <c r="B212" s="278"/>
      <c r="C212" s="279" t="s">
        <v>1273</v>
      </c>
      <c r="D212" s="278" t="s">
        <v>1250</v>
      </c>
      <c r="E212" s="278" t="s">
        <v>1274</v>
      </c>
      <c r="F212" s="278" t="s">
        <v>1252</v>
      </c>
      <c r="G212" s="280" t="s">
        <v>1253</v>
      </c>
      <c r="H212" s="279" t="s">
        <v>1262</v>
      </c>
      <c r="I212" s="279" t="s">
        <v>1275</v>
      </c>
      <c r="J212" s="781">
        <v>13.89</v>
      </c>
      <c r="K212" s="782"/>
    </row>
    <row r="213" spans="1:11" ht="21.95" customHeight="1" thickBot="1" x14ac:dyDescent="0.25">
      <c r="A213" s="282" t="s">
        <v>1276</v>
      </c>
      <c r="B213" s="282"/>
      <c r="C213" s="283" t="s">
        <v>1761</v>
      </c>
      <c r="D213" s="282" t="s">
        <v>1250</v>
      </c>
      <c r="E213" s="282" t="s">
        <v>1762</v>
      </c>
      <c r="F213" s="282" t="s">
        <v>1278</v>
      </c>
      <c r="G213" s="284" t="s">
        <v>52</v>
      </c>
      <c r="H213" s="283" t="s">
        <v>1262</v>
      </c>
      <c r="I213" s="283" t="s">
        <v>1763</v>
      </c>
      <c r="J213" s="770">
        <v>207.92</v>
      </c>
      <c r="K213" s="771"/>
    </row>
    <row r="214" spans="1:11" ht="0.95" customHeight="1" thickTop="1" x14ac:dyDescent="0.2">
      <c r="A214" s="281"/>
      <c r="B214" s="281"/>
      <c r="C214" s="281"/>
      <c r="D214" s="281"/>
      <c r="E214" s="281"/>
      <c r="F214" s="281"/>
      <c r="G214" s="281"/>
      <c r="H214" s="281"/>
      <c r="I214" s="281"/>
      <c r="J214" s="421"/>
      <c r="K214" s="421"/>
    </row>
    <row r="215" spans="1:11" ht="18" customHeight="1" x14ac:dyDescent="0.2">
      <c r="A215" s="272"/>
      <c r="B215" s="272" t="s">
        <v>54</v>
      </c>
      <c r="C215" s="273" t="s">
        <v>1239</v>
      </c>
      <c r="D215" s="272" t="s">
        <v>1240</v>
      </c>
      <c r="E215" s="272" t="s">
        <v>1241</v>
      </c>
      <c r="F215" s="272" t="s">
        <v>1242</v>
      </c>
      <c r="G215" s="274" t="s">
        <v>60</v>
      </c>
      <c r="H215" s="273" t="s">
        <v>58</v>
      </c>
      <c r="I215" s="273" t="s">
        <v>1243</v>
      </c>
      <c r="J215" s="775" t="s">
        <v>196</v>
      </c>
      <c r="K215" s="776"/>
    </row>
    <row r="216" spans="1:11" ht="44.1" customHeight="1" x14ac:dyDescent="0.2">
      <c r="A216" s="275" t="s">
        <v>1244</v>
      </c>
      <c r="B216" s="275" t="s">
        <v>4027</v>
      </c>
      <c r="C216" s="276" t="s">
        <v>4028</v>
      </c>
      <c r="D216" s="275" t="s">
        <v>1246</v>
      </c>
      <c r="E216" s="275" t="s">
        <v>2786</v>
      </c>
      <c r="F216" s="275" t="s">
        <v>1252</v>
      </c>
      <c r="G216" s="277" t="s">
        <v>52</v>
      </c>
      <c r="H216" s="276">
        <v>1</v>
      </c>
      <c r="I216" s="276" t="s">
        <v>4029</v>
      </c>
      <c r="J216" s="777" t="s">
        <v>4029</v>
      </c>
      <c r="K216" s="778"/>
    </row>
    <row r="217" spans="1:11" ht="33" customHeight="1" thickBot="1" x14ac:dyDescent="0.25">
      <c r="A217" s="282" t="s">
        <v>1276</v>
      </c>
      <c r="B217" s="282"/>
      <c r="C217" s="283" t="s">
        <v>4030</v>
      </c>
      <c r="D217" s="282" t="s">
        <v>1246</v>
      </c>
      <c r="E217" s="282" t="s">
        <v>4031</v>
      </c>
      <c r="F217" s="282" t="s">
        <v>1278</v>
      </c>
      <c r="G217" s="284" t="s">
        <v>52</v>
      </c>
      <c r="H217" s="283" t="s">
        <v>1262</v>
      </c>
      <c r="I217" s="283" t="s">
        <v>4029</v>
      </c>
      <c r="J217" s="770">
        <v>7400</v>
      </c>
      <c r="K217" s="771"/>
    </row>
    <row r="218" spans="1:11" ht="0.95" customHeight="1" thickTop="1" x14ac:dyDescent="0.2">
      <c r="A218" s="281"/>
      <c r="B218" s="281"/>
      <c r="C218" s="281"/>
      <c r="D218" s="281"/>
      <c r="E218" s="281"/>
      <c r="F218" s="281"/>
      <c r="G218" s="281"/>
      <c r="H218" s="281"/>
      <c r="I218" s="281"/>
      <c r="J218" s="421"/>
      <c r="K218" s="421"/>
    </row>
    <row r="219" spans="1:11" ht="18" customHeight="1" x14ac:dyDescent="0.2">
      <c r="A219" s="272"/>
      <c r="B219" s="272" t="s">
        <v>54</v>
      </c>
      <c r="C219" s="273" t="s">
        <v>1239</v>
      </c>
      <c r="D219" s="272" t="s">
        <v>1240</v>
      </c>
      <c r="E219" s="272" t="s">
        <v>1241</v>
      </c>
      <c r="F219" s="272" t="s">
        <v>1242</v>
      </c>
      <c r="G219" s="274" t="s">
        <v>60</v>
      </c>
      <c r="H219" s="273" t="s">
        <v>58</v>
      </c>
      <c r="I219" s="273" t="s">
        <v>1243</v>
      </c>
      <c r="J219" s="775" t="s">
        <v>196</v>
      </c>
      <c r="K219" s="776"/>
    </row>
    <row r="220" spans="1:11" ht="44.1" customHeight="1" x14ac:dyDescent="0.2">
      <c r="A220" s="275" t="s">
        <v>1244</v>
      </c>
      <c r="B220" s="275" t="s">
        <v>4032</v>
      </c>
      <c r="C220" s="276" t="s">
        <v>1360</v>
      </c>
      <c r="D220" s="275" t="s">
        <v>1246</v>
      </c>
      <c r="E220" s="275" t="s">
        <v>496</v>
      </c>
      <c r="F220" s="275" t="s">
        <v>1358</v>
      </c>
      <c r="G220" s="277" t="s">
        <v>75</v>
      </c>
      <c r="H220" s="276">
        <v>1</v>
      </c>
      <c r="I220" s="276" t="s">
        <v>1361</v>
      </c>
      <c r="J220" s="777" t="s">
        <v>1361</v>
      </c>
      <c r="K220" s="778"/>
    </row>
    <row r="221" spans="1:11" ht="21.95" customHeight="1" x14ac:dyDescent="0.2">
      <c r="A221" s="278" t="s">
        <v>1248</v>
      </c>
      <c r="B221" s="278"/>
      <c r="C221" s="279" t="s">
        <v>1362</v>
      </c>
      <c r="D221" s="278" t="s">
        <v>1250</v>
      </c>
      <c r="E221" s="278" t="s">
        <v>1363</v>
      </c>
      <c r="F221" s="278" t="s">
        <v>1364</v>
      </c>
      <c r="G221" s="280" t="s">
        <v>77</v>
      </c>
      <c r="H221" s="279" t="s">
        <v>1365</v>
      </c>
      <c r="I221" s="279" t="s">
        <v>1366</v>
      </c>
      <c r="J221" s="781">
        <v>1.38</v>
      </c>
      <c r="K221" s="782"/>
    </row>
    <row r="222" spans="1:11" ht="21.95" customHeight="1" x14ac:dyDescent="0.2">
      <c r="A222" s="278" t="s">
        <v>1248</v>
      </c>
      <c r="B222" s="278"/>
      <c r="C222" s="279" t="s">
        <v>1367</v>
      </c>
      <c r="D222" s="278" t="s">
        <v>1250</v>
      </c>
      <c r="E222" s="278" t="s">
        <v>1368</v>
      </c>
      <c r="F222" s="278" t="s">
        <v>1364</v>
      </c>
      <c r="G222" s="280" t="s">
        <v>153</v>
      </c>
      <c r="H222" s="279" t="s">
        <v>1369</v>
      </c>
      <c r="I222" s="279" t="s">
        <v>1370</v>
      </c>
      <c r="J222" s="781">
        <v>36.54</v>
      </c>
      <c r="K222" s="782"/>
    </row>
    <row r="223" spans="1:11" ht="21.95" customHeight="1" x14ac:dyDescent="0.2">
      <c r="A223" s="278" t="s">
        <v>1248</v>
      </c>
      <c r="B223" s="278"/>
      <c r="C223" s="279" t="s">
        <v>1371</v>
      </c>
      <c r="D223" s="278" t="s">
        <v>1250</v>
      </c>
      <c r="E223" s="278" t="s">
        <v>1372</v>
      </c>
      <c r="F223" s="278" t="s">
        <v>1364</v>
      </c>
      <c r="G223" s="280" t="s">
        <v>153</v>
      </c>
      <c r="H223" s="279" t="s">
        <v>1373</v>
      </c>
      <c r="I223" s="279" t="s">
        <v>1374</v>
      </c>
      <c r="J223" s="781">
        <v>6.42</v>
      </c>
      <c r="K223" s="782"/>
    </row>
    <row r="224" spans="1:11" ht="54.95" customHeight="1" x14ac:dyDescent="0.2">
      <c r="A224" s="278" t="s">
        <v>1248</v>
      </c>
      <c r="B224" s="278"/>
      <c r="C224" s="279" t="s">
        <v>1375</v>
      </c>
      <c r="D224" s="278" t="s">
        <v>1250</v>
      </c>
      <c r="E224" s="278" t="s">
        <v>582</v>
      </c>
      <c r="F224" s="278" t="s">
        <v>1364</v>
      </c>
      <c r="G224" s="280" t="s">
        <v>71</v>
      </c>
      <c r="H224" s="279" t="s">
        <v>1346</v>
      </c>
      <c r="I224" s="279" t="s">
        <v>1376</v>
      </c>
      <c r="J224" s="781">
        <v>4.1500000000000004</v>
      </c>
      <c r="K224" s="782"/>
    </row>
    <row r="225" spans="1:11" ht="54.95" customHeight="1" x14ac:dyDescent="0.2">
      <c r="A225" s="278" t="s">
        <v>1248</v>
      </c>
      <c r="B225" s="278"/>
      <c r="C225" s="279" t="s">
        <v>1377</v>
      </c>
      <c r="D225" s="278" t="s">
        <v>1250</v>
      </c>
      <c r="E225" s="278" t="s">
        <v>1378</v>
      </c>
      <c r="F225" s="278" t="s">
        <v>1379</v>
      </c>
      <c r="G225" s="280" t="s">
        <v>77</v>
      </c>
      <c r="H225" s="279" t="s">
        <v>1346</v>
      </c>
      <c r="I225" s="279" t="s">
        <v>1380</v>
      </c>
      <c r="J225" s="781">
        <v>29.94</v>
      </c>
      <c r="K225" s="782"/>
    </row>
    <row r="226" spans="1:11" ht="54.95" customHeight="1" x14ac:dyDescent="0.2">
      <c r="A226" s="278" t="s">
        <v>1248</v>
      </c>
      <c r="B226" s="278"/>
      <c r="C226" s="279" t="s">
        <v>1381</v>
      </c>
      <c r="D226" s="278" t="s">
        <v>1250</v>
      </c>
      <c r="E226" s="278" t="s">
        <v>324</v>
      </c>
      <c r="F226" s="278" t="s">
        <v>1351</v>
      </c>
      <c r="G226" s="280" t="s">
        <v>77</v>
      </c>
      <c r="H226" s="279" t="s">
        <v>1382</v>
      </c>
      <c r="I226" s="279" t="s">
        <v>1383</v>
      </c>
      <c r="J226" s="781">
        <v>18.600000000000001</v>
      </c>
      <c r="K226" s="782"/>
    </row>
    <row r="227" spans="1:11" ht="21.95" customHeight="1" x14ac:dyDescent="0.2">
      <c r="A227" s="278" t="s">
        <v>1248</v>
      </c>
      <c r="B227" s="278"/>
      <c r="C227" s="279" t="s">
        <v>1384</v>
      </c>
      <c r="D227" s="278" t="s">
        <v>1250</v>
      </c>
      <c r="E227" s="278" t="s">
        <v>243</v>
      </c>
      <c r="F227" s="278" t="s">
        <v>1385</v>
      </c>
      <c r="G227" s="280" t="s">
        <v>153</v>
      </c>
      <c r="H227" s="279" t="s">
        <v>1369</v>
      </c>
      <c r="I227" s="279" t="s">
        <v>1386</v>
      </c>
      <c r="J227" s="781">
        <v>4.3899999999999997</v>
      </c>
      <c r="K227" s="782"/>
    </row>
    <row r="228" spans="1:11" ht="44.1" customHeight="1" x14ac:dyDescent="0.2">
      <c r="A228" s="278" t="s">
        <v>1248</v>
      </c>
      <c r="B228" s="278"/>
      <c r="C228" s="279" t="s">
        <v>1387</v>
      </c>
      <c r="D228" s="278" t="s">
        <v>1250</v>
      </c>
      <c r="E228" s="278" t="s">
        <v>1388</v>
      </c>
      <c r="F228" s="278" t="s">
        <v>1351</v>
      </c>
      <c r="G228" s="280" t="s">
        <v>77</v>
      </c>
      <c r="H228" s="279" t="s">
        <v>1382</v>
      </c>
      <c r="I228" s="279" t="s">
        <v>1389</v>
      </c>
      <c r="J228" s="781">
        <v>4.8099999999999996</v>
      </c>
      <c r="K228" s="782"/>
    </row>
    <row r="229" spans="1:11" ht="21.95" customHeight="1" x14ac:dyDescent="0.2">
      <c r="A229" s="278" t="s">
        <v>1248</v>
      </c>
      <c r="B229" s="278"/>
      <c r="C229" s="279" t="s">
        <v>1390</v>
      </c>
      <c r="D229" s="278" t="s">
        <v>1250</v>
      </c>
      <c r="E229" s="278" t="s">
        <v>462</v>
      </c>
      <c r="F229" s="278" t="s">
        <v>1353</v>
      </c>
      <c r="G229" s="280" t="s">
        <v>77</v>
      </c>
      <c r="H229" s="279" t="s">
        <v>1391</v>
      </c>
      <c r="I229" s="279" t="s">
        <v>1392</v>
      </c>
      <c r="J229" s="781">
        <v>537.30999999999995</v>
      </c>
      <c r="K229" s="782"/>
    </row>
    <row r="230" spans="1:11" ht="21.95" customHeight="1" x14ac:dyDescent="0.2">
      <c r="A230" s="278" t="s">
        <v>1248</v>
      </c>
      <c r="B230" s="278"/>
      <c r="C230" s="279" t="s">
        <v>1269</v>
      </c>
      <c r="D230" s="278" t="s">
        <v>1250</v>
      </c>
      <c r="E230" s="278" t="s">
        <v>1270</v>
      </c>
      <c r="F230" s="278" t="s">
        <v>1252</v>
      </c>
      <c r="G230" s="280" t="s">
        <v>1253</v>
      </c>
      <c r="H230" s="279" t="s">
        <v>1346</v>
      </c>
      <c r="I230" s="279" t="s">
        <v>1272</v>
      </c>
      <c r="J230" s="781">
        <v>6.83</v>
      </c>
      <c r="K230" s="782"/>
    </row>
    <row r="231" spans="1:11" ht="21.95" customHeight="1" x14ac:dyDescent="0.2">
      <c r="A231" s="278" t="s">
        <v>1248</v>
      </c>
      <c r="B231" s="278"/>
      <c r="C231" s="279" t="s">
        <v>1273</v>
      </c>
      <c r="D231" s="278" t="s">
        <v>1250</v>
      </c>
      <c r="E231" s="278" t="s">
        <v>1274</v>
      </c>
      <c r="F231" s="278" t="s">
        <v>1252</v>
      </c>
      <c r="G231" s="280" t="s">
        <v>1253</v>
      </c>
      <c r="H231" s="279" t="s">
        <v>1393</v>
      </c>
      <c r="I231" s="279" t="s">
        <v>1275</v>
      </c>
      <c r="J231" s="781">
        <v>6.66</v>
      </c>
      <c r="K231" s="782"/>
    </row>
    <row r="232" spans="1:11" ht="21.95" customHeight="1" x14ac:dyDescent="0.2">
      <c r="A232" s="278" t="s">
        <v>1248</v>
      </c>
      <c r="B232" s="278"/>
      <c r="C232" s="279" t="s">
        <v>1394</v>
      </c>
      <c r="D232" s="278" t="s">
        <v>1250</v>
      </c>
      <c r="E232" s="278" t="s">
        <v>349</v>
      </c>
      <c r="F232" s="278" t="s">
        <v>1395</v>
      </c>
      <c r="G232" s="280" t="s">
        <v>77</v>
      </c>
      <c r="H232" s="279" t="s">
        <v>1396</v>
      </c>
      <c r="I232" s="279" t="s">
        <v>1397</v>
      </c>
      <c r="J232" s="781">
        <v>1.41</v>
      </c>
      <c r="K232" s="782"/>
    </row>
    <row r="233" spans="1:11" ht="21.95" customHeight="1" x14ac:dyDescent="0.2">
      <c r="A233" s="278" t="s">
        <v>1248</v>
      </c>
      <c r="B233" s="278"/>
      <c r="C233" s="279" t="s">
        <v>1398</v>
      </c>
      <c r="D233" s="278" t="s">
        <v>1250</v>
      </c>
      <c r="E233" s="278" t="s">
        <v>328</v>
      </c>
      <c r="F233" s="278" t="s">
        <v>1395</v>
      </c>
      <c r="G233" s="280" t="s">
        <v>77</v>
      </c>
      <c r="H233" s="279" t="s">
        <v>1396</v>
      </c>
      <c r="I233" s="279" t="s">
        <v>1399</v>
      </c>
      <c r="J233" s="781">
        <v>9.2899999999999991</v>
      </c>
      <c r="K233" s="782"/>
    </row>
    <row r="234" spans="1:11" ht="21.95" customHeight="1" x14ac:dyDescent="0.2">
      <c r="A234" s="278" t="s">
        <v>1248</v>
      </c>
      <c r="B234" s="278"/>
      <c r="C234" s="279" t="s">
        <v>1400</v>
      </c>
      <c r="D234" s="278" t="s">
        <v>1250</v>
      </c>
      <c r="E234" s="278" t="s">
        <v>1401</v>
      </c>
      <c r="F234" s="278" t="s">
        <v>1395</v>
      </c>
      <c r="G234" s="280" t="s">
        <v>77</v>
      </c>
      <c r="H234" s="279" t="s">
        <v>1402</v>
      </c>
      <c r="I234" s="279" t="s">
        <v>1403</v>
      </c>
      <c r="J234" s="781">
        <v>36.5</v>
      </c>
      <c r="K234" s="782"/>
    </row>
    <row r="235" spans="1:11" ht="21.95" customHeight="1" x14ac:dyDescent="0.2">
      <c r="A235" s="278" t="s">
        <v>1248</v>
      </c>
      <c r="B235" s="278"/>
      <c r="C235" s="279" t="s">
        <v>1404</v>
      </c>
      <c r="D235" s="278" t="s">
        <v>1250</v>
      </c>
      <c r="E235" s="278" t="s">
        <v>503</v>
      </c>
      <c r="F235" s="278" t="s">
        <v>1395</v>
      </c>
      <c r="G235" s="280" t="s">
        <v>77</v>
      </c>
      <c r="H235" s="279" t="s">
        <v>1402</v>
      </c>
      <c r="I235" s="279" t="s">
        <v>1405</v>
      </c>
      <c r="J235" s="781">
        <v>76.319999999999993</v>
      </c>
      <c r="K235" s="782"/>
    </row>
    <row r="236" spans="1:11" ht="21.95" customHeight="1" x14ac:dyDescent="0.2">
      <c r="A236" s="282" t="s">
        <v>1276</v>
      </c>
      <c r="B236" s="282"/>
      <c r="C236" s="283" t="s">
        <v>1307</v>
      </c>
      <c r="D236" s="282" t="s">
        <v>1250</v>
      </c>
      <c r="E236" s="282" t="s">
        <v>1308</v>
      </c>
      <c r="F236" s="282" t="s">
        <v>1278</v>
      </c>
      <c r="G236" s="284" t="s">
        <v>153</v>
      </c>
      <c r="H236" s="283" t="s">
        <v>1406</v>
      </c>
      <c r="I236" s="283" t="s">
        <v>1310</v>
      </c>
      <c r="J236" s="779">
        <v>0.21</v>
      </c>
      <c r="K236" s="780"/>
    </row>
    <row r="237" spans="1:11" ht="21.95" customHeight="1" thickBot="1" x14ac:dyDescent="0.25">
      <c r="A237" s="282" t="s">
        <v>1276</v>
      </c>
      <c r="B237" s="282"/>
      <c r="C237" s="283" t="s">
        <v>1407</v>
      </c>
      <c r="D237" s="282" t="s">
        <v>1250</v>
      </c>
      <c r="E237" s="282" t="s">
        <v>1408</v>
      </c>
      <c r="F237" s="282" t="s">
        <v>1278</v>
      </c>
      <c r="G237" s="284" t="s">
        <v>71</v>
      </c>
      <c r="H237" s="283" t="s">
        <v>1409</v>
      </c>
      <c r="I237" s="283" t="s">
        <v>1410</v>
      </c>
      <c r="J237" s="770">
        <v>0.52</v>
      </c>
      <c r="K237" s="771"/>
    </row>
    <row r="238" spans="1:11" ht="0.95" customHeight="1" thickTop="1" x14ac:dyDescent="0.2">
      <c r="A238" s="281"/>
      <c r="B238" s="281"/>
      <c r="C238" s="281"/>
      <c r="D238" s="281"/>
      <c r="E238" s="281"/>
      <c r="F238" s="281"/>
      <c r="G238" s="281"/>
      <c r="H238" s="281"/>
      <c r="I238" s="281"/>
      <c r="J238" s="421"/>
      <c r="K238" s="421"/>
    </row>
    <row r="239" spans="1:11" ht="18" customHeight="1" x14ac:dyDescent="0.2">
      <c r="A239" s="272"/>
      <c r="B239" s="272" t="s">
        <v>54</v>
      </c>
      <c r="C239" s="273" t="s">
        <v>1239</v>
      </c>
      <c r="D239" s="272" t="s">
        <v>1240</v>
      </c>
      <c r="E239" s="272" t="s">
        <v>1241</v>
      </c>
      <c r="F239" s="272" t="s">
        <v>1242</v>
      </c>
      <c r="G239" s="274" t="s">
        <v>60</v>
      </c>
      <c r="H239" s="273" t="s">
        <v>58</v>
      </c>
      <c r="I239" s="273" t="s">
        <v>1243</v>
      </c>
      <c r="J239" s="775" t="s">
        <v>196</v>
      </c>
      <c r="K239" s="776"/>
    </row>
    <row r="240" spans="1:11" ht="33" customHeight="1" x14ac:dyDescent="0.2">
      <c r="A240" s="275" t="s">
        <v>1244</v>
      </c>
      <c r="B240" s="275" t="s">
        <v>4033</v>
      </c>
      <c r="C240" s="276" t="s">
        <v>1515</v>
      </c>
      <c r="D240" s="275" t="s">
        <v>1246</v>
      </c>
      <c r="E240" s="275" t="s">
        <v>509</v>
      </c>
      <c r="F240" s="275" t="s">
        <v>1353</v>
      </c>
      <c r="G240" s="277" t="s">
        <v>77</v>
      </c>
      <c r="H240" s="276">
        <v>1</v>
      </c>
      <c r="I240" s="276" t="s">
        <v>1516</v>
      </c>
      <c r="J240" s="777" t="s">
        <v>1516</v>
      </c>
      <c r="K240" s="778"/>
    </row>
    <row r="241" spans="1:11" ht="21.95" customHeight="1" x14ac:dyDescent="0.2">
      <c r="A241" s="278" t="s">
        <v>1248</v>
      </c>
      <c r="B241" s="278"/>
      <c r="C241" s="279" t="s">
        <v>1269</v>
      </c>
      <c r="D241" s="278" t="s">
        <v>1250</v>
      </c>
      <c r="E241" s="278" t="s">
        <v>1270</v>
      </c>
      <c r="F241" s="278" t="s">
        <v>1252</v>
      </c>
      <c r="G241" s="280" t="s">
        <v>1253</v>
      </c>
      <c r="H241" s="279" t="s">
        <v>1357</v>
      </c>
      <c r="I241" s="279" t="s">
        <v>1272</v>
      </c>
      <c r="J241" s="781">
        <v>25.63</v>
      </c>
      <c r="K241" s="782"/>
    </row>
    <row r="242" spans="1:11" ht="21.95" customHeight="1" x14ac:dyDescent="0.2">
      <c r="A242" s="278" t="s">
        <v>1248</v>
      </c>
      <c r="B242" s="278"/>
      <c r="C242" s="279" t="s">
        <v>1273</v>
      </c>
      <c r="D242" s="278" t="s">
        <v>1250</v>
      </c>
      <c r="E242" s="278" t="s">
        <v>1274</v>
      </c>
      <c r="F242" s="278" t="s">
        <v>1252</v>
      </c>
      <c r="G242" s="280" t="s">
        <v>1253</v>
      </c>
      <c r="H242" s="279" t="s">
        <v>1357</v>
      </c>
      <c r="I242" s="279" t="s">
        <v>1275</v>
      </c>
      <c r="J242" s="781">
        <v>20.83</v>
      </c>
      <c r="K242" s="782"/>
    </row>
    <row r="243" spans="1:11" ht="21.95" customHeight="1" x14ac:dyDescent="0.2">
      <c r="A243" s="282" t="s">
        <v>1276</v>
      </c>
      <c r="B243" s="282"/>
      <c r="C243" s="283" t="s">
        <v>1517</v>
      </c>
      <c r="D243" s="282" t="s">
        <v>1250</v>
      </c>
      <c r="E243" s="282" t="s">
        <v>1518</v>
      </c>
      <c r="F243" s="282" t="s">
        <v>1278</v>
      </c>
      <c r="G243" s="284" t="s">
        <v>153</v>
      </c>
      <c r="H243" s="283" t="s">
        <v>1519</v>
      </c>
      <c r="I243" s="283" t="s">
        <v>1520</v>
      </c>
      <c r="J243" s="779">
        <v>3.05</v>
      </c>
      <c r="K243" s="780"/>
    </row>
    <row r="244" spans="1:11" ht="21.95" customHeight="1" x14ac:dyDescent="0.2">
      <c r="A244" s="282" t="s">
        <v>1276</v>
      </c>
      <c r="B244" s="282"/>
      <c r="C244" s="283" t="s">
        <v>1407</v>
      </c>
      <c r="D244" s="282" t="s">
        <v>1250</v>
      </c>
      <c r="E244" s="282" t="s">
        <v>1408</v>
      </c>
      <c r="F244" s="282" t="s">
        <v>1278</v>
      </c>
      <c r="G244" s="284" t="s">
        <v>71</v>
      </c>
      <c r="H244" s="283" t="s">
        <v>1521</v>
      </c>
      <c r="I244" s="283" t="s">
        <v>1410</v>
      </c>
      <c r="J244" s="779">
        <v>2.27</v>
      </c>
      <c r="K244" s="780"/>
    </row>
    <row r="245" spans="1:11" ht="33" customHeight="1" thickBot="1" x14ac:dyDescent="0.25">
      <c r="A245" s="282" t="s">
        <v>1276</v>
      </c>
      <c r="B245" s="282"/>
      <c r="C245" s="283" t="s">
        <v>1522</v>
      </c>
      <c r="D245" s="282" t="s">
        <v>1250</v>
      </c>
      <c r="E245" s="282" t="s">
        <v>1523</v>
      </c>
      <c r="F245" s="282" t="s">
        <v>1278</v>
      </c>
      <c r="G245" s="284" t="s">
        <v>77</v>
      </c>
      <c r="H245" s="283" t="s">
        <v>1262</v>
      </c>
      <c r="I245" s="283" t="s">
        <v>1524</v>
      </c>
      <c r="J245" s="770">
        <v>431.1</v>
      </c>
      <c r="K245" s="771"/>
    </row>
    <row r="246" spans="1:11" ht="0.95" customHeight="1" thickTop="1" x14ac:dyDescent="0.2">
      <c r="A246" s="281"/>
      <c r="B246" s="281"/>
      <c r="C246" s="281"/>
      <c r="D246" s="281"/>
      <c r="E246" s="281"/>
      <c r="F246" s="281"/>
      <c r="G246" s="281"/>
      <c r="H246" s="281"/>
      <c r="I246" s="281"/>
      <c r="J246" s="421"/>
      <c r="K246" s="421"/>
    </row>
    <row r="247" spans="1:11" ht="18" customHeight="1" x14ac:dyDescent="0.2">
      <c r="A247" s="272"/>
      <c r="B247" s="272" t="s">
        <v>54</v>
      </c>
      <c r="C247" s="273" t="s">
        <v>1239</v>
      </c>
      <c r="D247" s="272" t="s">
        <v>1240</v>
      </c>
      <c r="E247" s="272" t="s">
        <v>1241</v>
      </c>
      <c r="F247" s="272" t="s">
        <v>1242</v>
      </c>
      <c r="G247" s="274" t="s">
        <v>60</v>
      </c>
      <c r="H247" s="273" t="s">
        <v>58</v>
      </c>
      <c r="I247" s="273" t="s">
        <v>1243</v>
      </c>
      <c r="J247" s="775" t="s">
        <v>196</v>
      </c>
      <c r="K247" s="776"/>
    </row>
    <row r="248" spans="1:11" ht="21.95" customHeight="1" x14ac:dyDescent="0.2">
      <c r="A248" s="275" t="s">
        <v>1244</v>
      </c>
      <c r="B248" s="275" t="s">
        <v>4034</v>
      </c>
      <c r="C248" s="276" t="s">
        <v>1556</v>
      </c>
      <c r="D248" s="275" t="s">
        <v>1246</v>
      </c>
      <c r="E248" s="275" t="s">
        <v>523</v>
      </c>
      <c r="F248" s="275" t="s">
        <v>1252</v>
      </c>
      <c r="G248" s="277" t="s">
        <v>52</v>
      </c>
      <c r="H248" s="276">
        <v>1</v>
      </c>
      <c r="I248" s="276" t="s">
        <v>1557</v>
      </c>
      <c r="J248" s="777" t="s">
        <v>1557</v>
      </c>
      <c r="K248" s="778"/>
    </row>
    <row r="249" spans="1:11" ht="33" customHeight="1" thickBot="1" x14ac:dyDescent="0.25">
      <c r="A249" s="282" t="s">
        <v>1276</v>
      </c>
      <c r="B249" s="282"/>
      <c r="C249" s="283" t="s">
        <v>1558</v>
      </c>
      <c r="D249" s="282" t="s">
        <v>1246</v>
      </c>
      <c r="E249" s="282" t="s">
        <v>1559</v>
      </c>
      <c r="F249" s="282" t="s">
        <v>1278</v>
      </c>
      <c r="G249" s="284" t="s">
        <v>52</v>
      </c>
      <c r="H249" s="283" t="s">
        <v>1262</v>
      </c>
      <c r="I249" s="283" t="s">
        <v>1557</v>
      </c>
      <c r="J249" s="770">
        <v>2250</v>
      </c>
      <c r="K249" s="771"/>
    </row>
    <row r="250" spans="1:11" ht="0.95" customHeight="1" thickTop="1" x14ac:dyDescent="0.2">
      <c r="A250" s="281"/>
      <c r="B250" s="281"/>
      <c r="C250" s="281"/>
      <c r="D250" s="281"/>
      <c r="E250" s="281"/>
      <c r="F250" s="281"/>
      <c r="G250" s="281"/>
      <c r="H250" s="281"/>
      <c r="I250" s="281"/>
      <c r="J250" s="421"/>
      <c r="K250" s="421"/>
    </row>
    <row r="251" spans="1:11" ht="18" customHeight="1" x14ac:dyDescent="0.2">
      <c r="A251" s="272"/>
      <c r="B251" s="272" t="s">
        <v>54</v>
      </c>
      <c r="C251" s="273" t="s">
        <v>1239</v>
      </c>
      <c r="D251" s="272" t="s">
        <v>1240</v>
      </c>
      <c r="E251" s="272" t="s">
        <v>1241</v>
      </c>
      <c r="F251" s="272" t="s">
        <v>1242</v>
      </c>
      <c r="G251" s="274" t="s">
        <v>60</v>
      </c>
      <c r="H251" s="273" t="s">
        <v>58</v>
      </c>
      <c r="I251" s="273" t="s">
        <v>1243</v>
      </c>
      <c r="J251" s="775" t="s">
        <v>196</v>
      </c>
      <c r="K251" s="776"/>
    </row>
    <row r="252" spans="1:11" ht="33" customHeight="1" x14ac:dyDescent="0.2">
      <c r="A252" s="275" t="s">
        <v>1244</v>
      </c>
      <c r="B252" s="275" t="s">
        <v>4035</v>
      </c>
      <c r="C252" s="276" t="s">
        <v>1764</v>
      </c>
      <c r="D252" s="275" t="s">
        <v>1246</v>
      </c>
      <c r="E252" s="275" t="s">
        <v>416</v>
      </c>
      <c r="F252" s="275" t="s">
        <v>1252</v>
      </c>
      <c r="G252" s="277" t="s">
        <v>52</v>
      </c>
      <c r="H252" s="276">
        <v>1</v>
      </c>
      <c r="I252" s="276" t="s">
        <v>1765</v>
      </c>
      <c r="J252" s="777" t="s">
        <v>1765</v>
      </c>
      <c r="K252" s="778"/>
    </row>
    <row r="253" spans="1:11" ht="21.95" customHeight="1" thickBot="1" x14ac:dyDescent="0.25">
      <c r="A253" s="282" t="s">
        <v>1276</v>
      </c>
      <c r="B253" s="282"/>
      <c r="C253" s="283" t="s">
        <v>1766</v>
      </c>
      <c r="D253" s="282" t="s">
        <v>1246</v>
      </c>
      <c r="E253" s="282" t="s">
        <v>1767</v>
      </c>
      <c r="F253" s="282" t="s">
        <v>1278</v>
      </c>
      <c r="G253" s="284" t="s">
        <v>52</v>
      </c>
      <c r="H253" s="283" t="s">
        <v>1262</v>
      </c>
      <c r="I253" s="283" t="s">
        <v>1765</v>
      </c>
      <c r="J253" s="770">
        <v>180</v>
      </c>
      <c r="K253" s="771"/>
    </row>
    <row r="254" spans="1:11" ht="0.95" customHeight="1" thickTop="1" x14ac:dyDescent="0.2">
      <c r="A254" s="281"/>
      <c r="B254" s="281"/>
      <c r="C254" s="281"/>
      <c r="D254" s="281"/>
      <c r="E254" s="281"/>
      <c r="F254" s="281"/>
      <c r="G254" s="281"/>
      <c r="H254" s="281"/>
      <c r="I254" s="281"/>
      <c r="J254" s="421"/>
      <c r="K254" s="421"/>
    </row>
    <row r="255" spans="1:11" ht="18" customHeight="1" x14ac:dyDescent="0.2">
      <c r="A255" s="272"/>
      <c r="B255" s="272" t="s">
        <v>54</v>
      </c>
      <c r="C255" s="273" t="s">
        <v>1239</v>
      </c>
      <c r="D255" s="272" t="s">
        <v>1240</v>
      </c>
      <c r="E255" s="272" t="s">
        <v>1241</v>
      </c>
      <c r="F255" s="272" t="s">
        <v>1242</v>
      </c>
      <c r="G255" s="274" t="s">
        <v>60</v>
      </c>
      <c r="H255" s="273" t="s">
        <v>58</v>
      </c>
      <c r="I255" s="273" t="s">
        <v>1243</v>
      </c>
      <c r="J255" s="775" t="s">
        <v>196</v>
      </c>
      <c r="K255" s="776"/>
    </row>
    <row r="256" spans="1:11" ht="33" customHeight="1" x14ac:dyDescent="0.2">
      <c r="A256" s="275" t="s">
        <v>1244</v>
      </c>
      <c r="B256" s="275" t="s">
        <v>4036</v>
      </c>
      <c r="C256" s="276" t="s">
        <v>1267</v>
      </c>
      <c r="D256" s="275" t="s">
        <v>1246</v>
      </c>
      <c r="E256" s="275" t="s">
        <v>406</v>
      </c>
      <c r="F256" s="275" t="s">
        <v>1252</v>
      </c>
      <c r="G256" s="277" t="s">
        <v>52</v>
      </c>
      <c r="H256" s="276">
        <v>1</v>
      </c>
      <c r="I256" s="276" t="s">
        <v>1268</v>
      </c>
      <c r="J256" s="777" t="s">
        <v>1268</v>
      </c>
      <c r="K256" s="778"/>
    </row>
    <row r="257" spans="1:11" ht="21.95" customHeight="1" x14ac:dyDescent="0.2">
      <c r="A257" s="278" t="s">
        <v>1248</v>
      </c>
      <c r="B257" s="278"/>
      <c r="C257" s="279" t="s">
        <v>1269</v>
      </c>
      <c r="D257" s="278" t="s">
        <v>1250</v>
      </c>
      <c r="E257" s="278" t="s">
        <v>1270</v>
      </c>
      <c r="F257" s="278" t="s">
        <v>1252</v>
      </c>
      <c r="G257" s="280" t="s">
        <v>1253</v>
      </c>
      <c r="H257" s="279" t="s">
        <v>1271</v>
      </c>
      <c r="I257" s="279" t="s">
        <v>1272</v>
      </c>
      <c r="J257" s="781">
        <v>10.25</v>
      </c>
      <c r="K257" s="782"/>
    </row>
    <row r="258" spans="1:11" ht="21.95" customHeight="1" x14ac:dyDescent="0.2">
      <c r="A258" s="278" t="s">
        <v>1248</v>
      </c>
      <c r="B258" s="278"/>
      <c r="C258" s="279" t="s">
        <v>1273</v>
      </c>
      <c r="D258" s="278" t="s">
        <v>1250</v>
      </c>
      <c r="E258" s="278" t="s">
        <v>1274</v>
      </c>
      <c r="F258" s="278" t="s">
        <v>1252</v>
      </c>
      <c r="G258" s="280" t="s">
        <v>1253</v>
      </c>
      <c r="H258" s="279" t="s">
        <v>1271</v>
      </c>
      <c r="I258" s="279" t="s">
        <v>1275</v>
      </c>
      <c r="J258" s="781">
        <v>8.33</v>
      </c>
      <c r="K258" s="782"/>
    </row>
    <row r="259" spans="1:11" ht="21.95" customHeight="1" thickBot="1" x14ac:dyDescent="0.25">
      <c r="A259" s="282" t="s">
        <v>1276</v>
      </c>
      <c r="B259" s="282"/>
      <c r="C259" s="283" t="s">
        <v>1277</v>
      </c>
      <c r="D259" s="282" t="s">
        <v>1246</v>
      </c>
      <c r="E259" s="282" t="s">
        <v>962</v>
      </c>
      <c r="F259" s="282" t="s">
        <v>1278</v>
      </c>
      <c r="G259" s="284" t="s">
        <v>52</v>
      </c>
      <c r="H259" s="283" t="s">
        <v>1262</v>
      </c>
      <c r="I259" s="283" t="s">
        <v>1279</v>
      </c>
      <c r="J259" s="770">
        <v>280</v>
      </c>
      <c r="K259" s="771"/>
    </row>
    <row r="260" spans="1:11" ht="0.95" customHeight="1" thickTop="1" x14ac:dyDescent="0.2">
      <c r="A260" s="281"/>
      <c r="B260" s="281"/>
      <c r="C260" s="281"/>
      <c r="D260" s="281"/>
      <c r="E260" s="281"/>
      <c r="F260" s="281"/>
      <c r="G260" s="281"/>
      <c r="H260" s="281"/>
      <c r="I260" s="281"/>
      <c r="J260" s="421"/>
      <c r="K260" s="421"/>
    </row>
    <row r="261" spans="1:11" ht="18" customHeight="1" x14ac:dyDescent="0.2">
      <c r="A261" s="272"/>
      <c r="B261" s="272" t="s">
        <v>54</v>
      </c>
      <c r="C261" s="273" t="s">
        <v>1239</v>
      </c>
      <c r="D261" s="272" t="s">
        <v>1240</v>
      </c>
      <c r="E261" s="272" t="s">
        <v>1241</v>
      </c>
      <c r="F261" s="272" t="s">
        <v>1242</v>
      </c>
      <c r="G261" s="274" t="s">
        <v>60</v>
      </c>
      <c r="H261" s="273" t="s">
        <v>58</v>
      </c>
      <c r="I261" s="273" t="s">
        <v>1243</v>
      </c>
      <c r="J261" s="775" t="s">
        <v>196</v>
      </c>
      <c r="K261" s="776"/>
    </row>
    <row r="262" spans="1:11" ht="21.95" customHeight="1" x14ac:dyDescent="0.2">
      <c r="A262" s="275" t="s">
        <v>1244</v>
      </c>
      <c r="B262" s="275" t="s">
        <v>4037</v>
      </c>
      <c r="C262" s="276" t="s">
        <v>4038</v>
      </c>
      <c r="D262" s="275" t="s">
        <v>1246</v>
      </c>
      <c r="E262" s="275" t="s">
        <v>2789</v>
      </c>
      <c r="F262" s="275" t="s">
        <v>1485</v>
      </c>
      <c r="G262" s="277" t="s">
        <v>77</v>
      </c>
      <c r="H262" s="276">
        <v>1</v>
      </c>
      <c r="I262" s="276" t="s">
        <v>4039</v>
      </c>
      <c r="J262" s="777" t="s">
        <v>4039</v>
      </c>
      <c r="K262" s="778"/>
    </row>
    <row r="263" spans="1:11" ht="21.95" customHeight="1" thickBot="1" x14ac:dyDescent="0.25">
      <c r="A263" s="282" t="s">
        <v>1276</v>
      </c>
      <c r="B263" s="282"/>
      <c r="C263" s="283" t="s">
        <v>4040</v>
      </c>
      <c r="D263" s="282" t="s">
        <v>1246</v>
      </c>
      <c r="E263" s="282" t="s">
        <v>2789</v>
      </c>
      <c r="F263" s="282" t="s">
        <v>55</v>
      </c>
      <c r="G263" s="284" t="s">
        <v>77</v>
      </c>
      <c r="H263" s="283" t="s">
        <v>1262</v>
      </c>
      <c r="I263" s="283" t="s">
        <v>4039</v>
      </c>
      <c r="J263" s="770">
        <v>322.5</v>
      </c>
      <c r="K263" s="771"/>
    </row>
    <row r="264" spans="1:11" ht="0.95" customHeight="1" thickTop="1" x14ac:dyDescent="0.2">
      <c r="A264" s="281"/>
      <c r="B264" s="281"/>
      <c r="C264" s="281"/>
      <c r="D264" s="281"/>
      <c r="E264" s="281"/>
      <c r="F264" s="281"/>
      <c r="G264" s="281"/>
      <c r="H264" s="281"/>
      <c r="I264" s="281"/>
      <c r="J264" s="421"/>
      <c r="K264" s="421"/>
    </row>
    <row r="265" spans="1:11" ht="18" customHeight="1" x14ac:dyDescent="0.2">
      <c r="A265" s="272"/>
      <c r="B265" s="272" t="s">
        <v>54</v>
      </c>
      <c r="C265" s="273" t="s">
        <v>1239</v>
      </c>
      <c r="D265" s="272" t="s">
        <v>1240</v>
      </c>
      <c r="E265" s="272" t="s">
        <v>1241</v>
      </c>
      <c r="F265" s="272" t="s">
        <v>1242</v>
      </c>
      <c r="G265" s="274" t="s">
        <v>60</v>
      </c>
      <c r="H265" s="273" t="s">
        <v>58</v>
      </c>
      <c r="I265" s="273" t="s">
        <v>1243</v>
      </c>
      <c r="J265" s="775" t="s">
        <v>196</v>
      </c>
      <c r="K265" s="776"/>
    </row>
    <row r="266" spans="1:11" ht="21.95" customHeight="1" x14ac:dyDescent="0.2">
      <c r="A266" s="275" t="s">
        <v>1244</v>
      </c>
      <c r="B266" s="275" t="s">
        <v>4041</v>
      </c>
      <c r="C266" s="276" t="s">
        <v>4042</v>
      </c>
      <c r="D266" s="275" t="s">
        <v>1246</v>
      </c>
      <c r="E266" s="275" t="s">
        <v>2791</v>
      </c>
      <c r="F266" s="275" t="s">
        <v>1353</v>
      </c>
      <c r="G266" s="277" t="s">
        <v>77</v>
      </c>
      <c r="H266" s="276">
        <v>1</v>
      </c>
      <c r="I266" s="276" t="s">
        <v>4043</v>
      </c>
      <c r="J266" s="777" t="s">
        <v>4043</v>
      </c>
      <c r="K266" s="778"/>
    </row>
    <row r="267" spans="1:11" ht="21.95" customHeight="1" x14ac:dyDescent="0.2">
      <c r="A267" s="278" t="s">
        <v>1248</v>
      </c>
      <c r="B267" s="278"/>
      <c r="C267" s="279" t="s">
        <v>1269</v>
      </c>
      <c r="D267" s="278" t="s">
        <v>1250</v>
      </c>
      <c r="E267" s="278" t="s">
        <v>1270</v>
      </c>
      <c r="F267" s="278" t="s">
        <v>1252</v>
      </c>
      <c r="G267" s="280" t="s">
        <v>1253</v>
      </c>
      <c r="H267" s="279" t="s">
        <v>4044</v>
      </c>
      <c r="I267" s="279" t="s">
        <v>1272</v>
      </c>
      <c r="J267" s="781">
        <v>29</v>
      </c>
      <c r="K267" s="782"/>
    </row>
    <row r="268" spans="1:11" ht="21.95" customHeight="1" x14ac:dyDescent="0.2">
      <c r="A268" s="278" t="s">
        <v>1248</v>
      </c>
      <c r="B268" s="278"/>
      <c r="C268" s="279" t="s">
        <v>1273</v>
      </c>
      <c r="D268" s="278" t="s">
        <v>1250</v>
      </c>
      <c r="E268" s="278" t="s">
        <v>1274</v>
      </c>
      <c r="F268" s="278" t="s">
        <v>1252</v>
      </c>
      <c r="G268" s="280" t="s">
        <v>1253</v>
      </c>
      <c r="H268" s="279" t="s">
        <v>4045</v>
      </c>
      <c r="I268" s="279" t="s">
        <v>1275</v>
      </c>
      <c r="J268" s="781">
        <v>11.77</v>
      </c>
      <c r="K268" s="782"/>
    </row>
    <row r="269" spans="1:11" ht="21.95" customHeight="1" x14ac:dyDescent="0.2">
      <c r="A269" s="278" t="s">
        <v>1248</v>
      </c>
      <c r="B269" s="278"/>
      <c r="C269" s="279" t="s">
        <v>1492</v>
      </c>
      <c r="D269" s="278" t="s">
        <v>1250</v>
      </c>
      <c r="E269" s="278" t="s">
        <v>1493</v>
      </c>
      <c r="F269" s="278" t="s">
        <v>1252</v>
      </c>
      <c r="G269" s="280" t="s">
        <v>153</v>
      </c>
      <c r="H269" s="279" t="s">
        <v>1483</v>
      </c>
      <c r="I269" s="279" t="s">
        <v>1495</v>
      </c>
      <c r="J269" s="781">
        <v>3.94</v>
      </c>
      <c r="K269" s="782"/>
    </row>
    <row r="270" spans="1:11" ht="21.95" customHeight="1" thickBot="1" x14ac:dyDescent="0.25">
      <c r="A270" s="282" t="s">
        <v>1276</v>
      </c>
      <c r="B270" s="282"/>
      <c r="C270" s="283" t="s">
        <v>4046</v>
      </c>
      <c r="D270" s="282" t="s">
        <v>1246</v>
      </c>
      <c r="E270" s="282" t="s">
        <v>2791</v>
      </c>
      <c r="F270" s="282" t="s">
        <v>1278</v>
      </c>
      <c r="G270" s="284" t="s">
        <v>77</v>
      </c>
      <c r="H270" s="283" t="s">
        <v>1262</v>
      </c>
      <c r="I270" s="283" t="s">
        <v>1279</v>
      </c>
      <c r="J270" s="770">
        <v>280</v>
      </c>
      <c r="K270" s="771"/>
    </row>
    <row r="271" spans="1:11" ht="0.95" customHeight="1" thickTop="1" x14ac:dyDescent="0.2">
      <c r="A271" s="281"/>
      <c r="B271" s="281"/>
      <c r="C271" s="281"/>
      <c r="D271" s="281"/>
      <c r="E271" s="281"/>
      <c r="F271" s="281"/>
      <c r="G271" s="281"/>
      <c r="H271" s="281"/>
      <c r="I271" s="281"/>
      <c r="J271" s="421"/>
      <c r="K271" s="421"/>
    </row>
    <row r="272" spans="1:11" ht="18" customHeight="1" x14ac:dyDescent="0.2">
      <c r="A272" s="272"/>
      <c r="B272" s="272" t="s">
        <v>54</v>
      </c>
      <c r="C272" s="273" t="s">
        <v>1239</v>
      </c>
      <c r="D272" s="272" t="s">
        <v>1240</v>
      </c>
      <c r="E272" s="272" t="s">
        <v>1241</v>
      </c>
      <c r="F272" s="272" t="s">
        <v>1242</v>
      </c>
      <c r="G272" s="274" t="s">
        <v>60</v>
      </c>
      <c r="H272" s="273" t="s">
        <v>58</v>
      </c>
      <c r="I272" s="273" t="s">
        <v>1243</v>
      </c>
      <c r="J272" s="775" t="s">
        <v>196</v>
      </c>
      <c r="K272" s="776"/>
    </row>
    <row r="273" spans="1:11" ht="33" customHeight="1" x14ac:dyDescent="0.2">
      <c r="A273" s="275" t="s">
        <v>1244</v>
      </c>
      <c r="B273" s="275" t="s">
        <v>4047</v>
      </c>
      <c r="C273" s="276" t="s">
        <v>1806</v>
      </c>
      <c r="D273" s="275" t="s">
        <v>1246</v>
      </c>
      <c r="E273" s="275" t="s">
        <v>565</v>
      </c>
      <c r="F273" s="275" t="s">
        <v>1252</v>
      </c>
      <c r="G273" s="277" t="s">
        <v>52</v>
      </c>
      <c r="H273" s="276">
        <v>1</v>
      </c>
      <c r="I273" s="276" t="s">
        <v>1807</v>
      </c>
      <c r="J273" s="777" t="s">
        <v>1807</v>
      </c>
      <c r="K273" s="778"/>
    </row>
    <row r="274" spans="1:11" ht="54.95" customHeight="1" x14ac:dyDescent="0.2">
      <c r="A274" s="278" t="s">
        <v>1248</v>
      </c>
      <c r="B274" s="278"/>
      <c r="C274" s="279" t="s">
        <v>1808</v>
      </c>
      <c r="D274" s="278" t="s">
        <v>1250</v>
      </c>
      <c r="E274" s="278" t="s">
        <v>1809</v>
      </c>
      <c r="F274" s="278" t="s">
        <v>1379</v>
      </c>
      <c r="G274" s="280" t="s">
        <v>77</v>
      </c>
      <c r="H274" s="279" t="s">
        <v>1810</v>
      </c>
      <c r="I274" s="279" t="s">
        <v>1811</v>
      </c>
      <c r="J274" s="781">
        <v>138.32</v>
      </c>
      <c r="K274" s="782"/>
    </row>
    <row r="275" spans="1:11" ht="44.1" customHeight="1" x14ac:dyDescent="0.2">
      <c r="A275" s="278" t="s">
        <v>1248</v>
      </c>
      <c r="B275" s="278"/>
      <c r="C275" s="279" t="s">
        <v>1812</v>
      </c>
      <c r="D275" s="278" t="s">
        <v>1250</v>
      </c>
      <c r="E275" s="278" t="s">
        <v>1813</v>
      </c>
      <c r="F275" s="278" t="s">
        <v>1351</v>
      </c>
      <c r="G275" s="280" t="s">
        <v>77</v>
      </c>
      <c r="H275" s="279" t="s">
        <v>1814</v>
      </c>
      <c r="I275" s="279" t="s">
        <v>1540</v>
      </c>
      <c r="J275" s="781">
        <v>1098.4000000000001</v>
      </c>
      <c r="K275" s="782"/>
    </row>
    <row r="276" spans="1:11" ht="44.1" customHeight="1" x14ac:dyDescent="0.2">
      <c r="A276" s="278" t="s">
        <v>1248</v>
      </c>
      <c r="B276" s="278"/>
      <c r="C276" s="279" t="s">
        <v>1815</v>
      </c>
      <c r="D276" s="278" t="s">
        <v>1250</v>
      </c>
      <c r="E276" s="278" t="s">
        <v>1816</v>
      </c>
      <c r="F276" s="278" t="s">
        <v>1351</v>
      </c>
      <c r="G276" s="280" t="s">
        <v>77</v>
      </c>
      <c r="H276" s="279" t="s">
        <v>1817</v>
      </c>
      <c r="I276" s="279" t="s">
        <v>1818</v>
      </c>
      <c r="J276" s="781">
        <v>23.94</v>
      </c>
      <c r="K276" s="782"/>
    </row>
    <row r="277" spans="1:11" ht="44.1" customHeight="1" x14ac:dyDescent="0.2">
      <c r="A277" s="278" t="s">
        <v>1248</v>
      </c>
      <c r="B277" s="278"/>
      <c r="C277" s="279" t="s">
        <v>1819</v>
      </c>
      <c r="D277" s="278" t="s">
        <v>1250</v>
      </c>
      <c r="E277" s="278" t="s">
        <v>1820</v>
      </c>
      <c r="F277" s="278" t="s">
        <v>1364</v>
      </c>
      <c r="G277" s="280" t="s">
        <v>71</v>
      </c>
      <c r="H277" s="279" t="s">
        <v>1821</v>
      </c>
      <c r="I277" s="279" t="s">
        <v>1822</v>
      </c>
      <c r="J277" s="781">
        <v>12.85</v>
      </c>
      <c r="K277" s="782"/>
    </row>
    <row r="278" spans="1:11" ht="54.95" customHeight="1" x14ac:dyDescent="0.2">
      <c r="A278" s="278" t="s">
        <v>1248</v>
      </c>
      <c r="B278" s="278"/>
      <c r="C278" s="279" t="s">
        <v>1823</v>
      </c>
      <c r="D278" s="278" t="s">
        <v>1250</v>
      </c>
      <c r="E278" s="278" t="s">
        <v>1824</v>
      </c>
      <c r="F278" s="278" t="s">
        <v>1351</v>
      </c>
      <c r="G278" s="280" t="s">
        <v>77</v>
      </c>
      <c r="H278" s="279" t="s">
        <v>1817</v>
      </c>
      <c r="I278" s="279" t="s">
        <v>1825</v>
      </c>
      <c r="J278" s="781">
        <v>210.56</v>
      </c>
      <c r="K278" s="782"/>
    </row>
    <row r="279" spans="1:11" ht="21.95" customHeight="1" x14ac:dyDescent="0.2">
      <c r="A279" s="282" t="s">
        <v>1276</v>
      </c>
      <c r="B279" s="282"/>
      <c r="C279" s="283" t="s">
        <v>1826</v>
      </c>
      <c r="D279" s="282" t="s">
        <v>1246</v>
      </c>
      <c r="E279" s="282" t="s">
        <v>916</v>
      </c>
      <c r="F279" s="282" t="s">
        <v>1278</v>
      </c>
      <c r="G279" s="284" t="s">
        <v>52</v>
      </c>
      <c r="H279" s="283" t="s">
        <v>1262</v>
      </c>
      <c r="I279" s="283" t="s">
        <v>1827</v>
      </c>
      <c r="J279" s="779">
        <v>3200</v>
      </c>
      <c r="K279" s="780"/>
    </row>
    <row r="280" spans="1:11" ht="21.95" customHeight="1" x14ac:dyDescent="0.2">
      <c r="A280" s="282" t="s">
        <v>1276</v>
      </c>
      <c r="B280" s="282"/>
      <c r="C280" s="283" t="s">
        <v>1753</v>
      </c>
      <c r="D280" s="282" t="s">
        <v>1250</v>
      </c>
      <c r="E280" s="282" t="s">
        <v>1754</v>
      </c>
      <c r="F280" s="282" t="s">
        <v>1278</v>
      </c>
      <c r="G280" s="284" t="s">
        <v>71</v>
      </c>
      <c r="H280" s="283" t="s">
        <v>1828</v>
      </c>
      <c r="I280" s="283" t="s">
        <v>1756</v>
      </c>
      <c r="J280" s="779">
        <v>33.409999999999997</v>
      </c>
      <c r="K280" s="780"/>
    </row>
    <row r="281" spans="1:11" ht="21.95" customHeight="1" thickBot="1" x14ac:dyDescent="0.25">
      <c r="A281" s="282" t="s">
        <v>1276</v>
      </c>
      <c r="B281" s="282"/>
      <c r="C281" s="283" t="s">
        <v>1829</v>
      </c>
      <c r="D281" s="282" t="s">
        <v>1250</v>
      </c>
      <c r="E281" s="282" t="s">
        <v>1830</v>
      </c>
      <c r="F281" s="282" t="s">
        <v>1278</v>
      </c>
      <c r="G281" s="284" t="s">
        <v>52</v>
      </c>
      <c r="H281" s="283" t="s">
        <v>1831</v>
      </c>
      <c r="I281" s="283" t="s">
        <v>1832</v>
      </c>
      <c r="J281" s="770">
        <v>12.24</v>
      </c>
      <c r="K281" s="771"/>
    </row>
    <row r="282" spans="1:11" ht="0.95" customHeight="1" thickTop="1" x14ac:dyDescent="0.2">
      <c r="A282" s="281"/>
      <c r="B282" s="281"/>
      <c r="C282" s="281"/>
      <c r="D282" s="281"/>
      <c r="E282" s="281"/>
      <c r="F282" s="281"/>
      <c r="G282" s="281"/>
      <c r="H282" s="281"/>
      <c r="I282" s="281"/>
      <c r="J282" s="421"/>
      <c r="K282" s="421"/>
    </row>
    <row r="283" spans="1:11" ht="18" customHeight="1" x14ac:dyDescent="0.2">
      <c r="A283" s="272"/>
      <c r="B283" s="272" t="s">
        <v>54</v>
      </c>
      <c r="C283" s="273" t="s">
        <v>1239</v>
      </c>
      <c r="D283" s="272" t="s">
        <v>1240</v>
      </c>
      <c r="E283" s="272" t="s">
        <v>1241</v>
      </c>
      <c r="F283" s="272" t="s">
        <v>1242</v>
      </c>
      <c r="G283" s="274" t="s">
        <v>60</v>
      </c>
      <c r="H283" s="273" t="s">
        <v>58</v>
      </c>
      <c r="I283" s="273" t="s">
        <v>1243</v>
      </c>
      <c r="J283" s="775" t="s">
        <v>196</v>
      </c>
      <c r="K283" s="776"/>
    </row>
    <row r="284" spans="1:11" ht="33" customHeight="1" x14ac:dyDescent="0.2">
      <c r="A284" s="275" t="s">
        <v>1244</v>
      </c>
      <c r="B284" s="275" t="s">
        <v>4048</v>
      </c>
      <c r="C284" s="276" t="s">
        <v>4049</v>
      </c>
      <c r="D284" s="275" t="s">
        <v>1246</v>
      </c>
      <c r="E284" s="275" t="s">
        <v>2793</v>
      </c>
      <c r="F284" s="275" t="s">
        <v>1351</v>
      </c>
      <c r="G284" s="277" t="s">
        <v>75</v>
      </c>
      <c r="H284" s="276">
        <v>1</v>
      </c>
      <c r="I284" s="276" t="s">
        <v>4050</v>
      </c>
      <c r="J284" s="777" t="s">
        <v>4050</v>
      </c>
      <c r="K284" s="778"/>
    </row>
    <row r="285" spans="1:11" ht="21.95" customHeight="1" x14ac:dyDescent="0.2">
      <c r="A285" s="278" t="s">
        <v>1248</v>
      </c>
      <c r="B285" s="278"/>
      <c r="C285" s="279" t="s">
        <v>1774</v>
      </c>
      <c r="D285" s="278" t="s">
        <v>1250</v>
      </c>
      <c r="E285" s="278" t="s">
        <v>1775</v>
      </c>
      <c r="F285" s="278" t="s">
        <v>1252</v>
      </c>
      <c r="G285" s="280" t="s">
        <v>1253</v>
      </c>
      <c r="H285" s="279" t="s">
        <v>1346</v>
      </c>
      <c r="I285" s="279" t="s">
        <v>1777</v>
      </c>
      <c r="J285" s="781">
        <v>6.52</v>
      </c>
      <c r="K285" s="782"/>
    </row>
    <row r="286" spans="1:11" ht="21.95" customHeight="1" x14ac:dyDescent="0.2">
      <c r="A286" s="278" t="s">
        <v>1248</v>
      </c>
      <c r="B286" s="278"/>
      <c r="C286" s="279" t="s">
        <v>1273</v>
      </c>
      <c r="D286" s="278" t="s">
        <v>1250</v>
      </c>
      <c r="E286" s="278" t="s">
        <v>1274</v>
      </c>
      <c r="F286" s="278" t="s">
        <v>1252</v>
      </c>
      <c r="G286" s="280" t="s">
        <v>1253</v>
      </c>
      <c r="H286" s="279" t="s">
        <v>1346</v>
      </c>
      <c r="I286" s="279" t="s">
        <v>1275</v>
      </c>
      <c r="J286" s="781">
        <v>5.55</v>
      </c>
      <c r="K286" s="782"/>
    </row>
    <row r="287" spans="1:11" ht="21.95" customHeight="1" x14ac:dyDescent="0.2">
      <c r="A287" s="278" t="s">
        <v>1248</v>
      </c>
      <c r="B287" s="278"/>
      <c r="C287" s="279" t="s">
        <v>1779</v>
      </c>
      <c r="D287" s="278" t="s">
        <v>1250</v>
      </c>
      <c r="E287" s="278" t="s">
        <v>1780</v>
      </c>
      <c r="F287" s="278" t="s">
        <v>1252</v>
      </c>
      <c r="G287" s="280" t="s">
        <v>153</v>
      </c>
      <c r="H287" s="279" t="s">
        <v>1450</v>
      </c>
      <c r="I287" s="279" t="s">
        <v>1782</v>
      </c>
      <c r="J287" s="781">
        <v>1.07</v>
      </c>
      <c r="K287" s="782"/>
    </row>
    <row r="288" spans="1:11" ht="21.95" customHeight="1" thickBot="1" x14ac:dyDescent="0.25">
      <c r="A288" s="282" t="s">
        <v>1276</v>
      </c>
      <c r="B288" s="282"/>
      <c r="C288" s="283" t="s">
        <v>3987</v>
      </c>
      <c r="D288" s="282" t="s">
        <v>1246</v>
      </c>
      <c r="E288" s="282" t="s">
        <v>3988</v>
      </c>
      <c r="F288" s="282" t="s">
        <v>1278</v>
      </c>
      <c r="G288" s="284" t="s">
        <v>77</v>
      </c>
      <c r="H288" s="283" t="s">
        <v>1986</v>
      </c>
      <c r="I288" s="283" t="s">
        <v>1758</v>
      </c>
      <c r="J288" s="770">
        <v>68.25</v>
      </c>
      <c r="K288" s="771"/>
    </row>
    <row r="289" spans="1:11" ht="0.95" customHeight="1" thickTop="1" x14ac:dyDescent="0.2">
      <c r="A289" s="281"/>
      <c r="B289" s="281"/>
      <c r="C289" s="281"/>
      <c r="D289" s="281"/>
      <c r="E289" s="281"/>
      <c r="F289" s="281"/>
      <c r="G289" s="281"/>
      <c r="H289" s="281"/>
      <c r="I289" s="281"/>
      <c r="J289" s="421"/>
      <c r="K289" s="421"/>
    </row>
    <row r="290" spans="1:11" ht="18" customHeight="1" x14ac:dyDescent="0.2">
      <c r="A290" s="272"/>
      <c r="B290" s="272" t="s">
        <v>54</v>
      </c>
      <c r="C290" s="273" t="s">
        <v>1239</v>
      </c>
      <c r="D290" s="272" t="s">
        <v>1240</v>
      </c>
      <c r="E290" s="272" t="s">
        <v>1241</v>
      </c>
      <c r="F290" s="272" t="s">
        <v>1242</v>
      </c>
      <c r="G290" s="274" t="s">
        <v>60</v>
      </c>
      <c r="H290" s="273" t="s">
        <v>58</v>
      </c>
      <c r="I290" s="273" t="s">
        <v>1243</v>
      </c>
      <c r="J290" s="775" t="s">
        <v>196</v>
      </c>
      <c r="K290" s="776"/>
    </row>
    <row r="291" spans="1:11" ht="21.95" customHeight="1" x14ac:dyDescent="0.2">
      <c r="A291" s="275" t="s">
        <v>1244</v>
      </c>
      <c r="B291" s="275" t="s">
        <v>4051</v>
      </c>
      <c r="C291" s="276" t="s">
        <v>4052</v>
      </c>
      <c r="D291" s="275" t="s">
        <v>1246</v>
      </c>
      <c r="E291" s="275" t="s">
        <v>2795</v>
      </c>
      <c r="F291" s="275" t="s">
        <v>1358</v>
      </c>
      <c r="G291" s="277" t="s">
        <v>52</v>
      </c>
      <c r="H291" s="276">
        <v>1</v>
      </c>
      <c r="I291" s="276" t="s">
        <v>4053</v>
      </c>
      <c r="J291" s="777" t="s">
        <v>4053</v>
      </c>
      <c r="K291" s="778"/>
    </row>
    <row r="292" spans="1:11" ht="21.95" customHeight="1" x14ac:dyDescent="0.2">
      <c r="A292" s="278" t="s">
        <v>1248</v>
      </c>
      <c r="B292" s="278"/>
      <c r="C292" s="279" t="s">
        <v>1269</v>
      </c>
      <c r="D292" s="278" t="s">
        <v>1250</v>
      </c>
      <c r="E292" s="278" t="s">
        <v>1270</v>
      </c>
      <c r="F292" s="278" t="s">
        <v>1252</v>
      </c>
      <c r="G292" s="280" t="s">
        <v>1253</v>
      </c>
      <c r="H292" s="279" t="s">
        <v>4054</v>
      </c>
      <c r="I292" s="279" t="s">
        <v>1272</v>
      </c>
      <c r="J292" s="781">
        <v>32.71</v>
      </c>
      <c r="K292" s="782"/>
    </row>
    <row r="293" spans="1:11" ht="21.95" customHeight="1" x14ac:dyDescent="0.2">
      <c r="A293" s="278" t="s">
        <v>1248</v>
      </c>
      <c r="B293" s="278"/>
      <c r="C293" s="279" t="s">
        <v>1273</v>
      </c>
      <c r="D293" s="278" t="s">
        <v>1250</v>
      </c>
      <c r="E293" s="278" t="s">
        <v>1274</v>
      </c>
      <c r="F293" s="278" t="s">
        <v>1252</v>
      </c>
      <c r="G293" s="280" t="s">
        <v>1253</v>
      </c>
      <c r="H293" s="279" t="s">
        <v>4055</v>
      </c>
      <c r="I293" s="279" t="s">
        <v>1275</v>
      </c>
      <c r="J293" s="781">
        <v>31</v>
      </c>
      <c r="K293" s="782"/>
    </row>
    <row r="294" spans="1:11" ht="21.95" customHeight="1" x14ac:dyDescent="0.2">
      <c r="A294" s="282" t="s">
        <v>1276</v>
      </c>
      <c r="B294" s="282"/>
      <c r="C294" s="283" t="s">
        <v>1407</v>
      </c>
      <c r="D294" s="282" t="s">
        <v>1250</v>
      </c>
      <c r="E294" s="282" t="s">
        <v>1408</v>
      </c>
      <c r="F294" s="282" t="s">
        <v>1278</v>
      </c>
      <c r="G294" s="284" t="s">
        <v>71</v>
      </c>
      <c r="H294" s="283" t="s">
        <v>4056</v>
      </c>
      <c r="I294" s="283" t="s">
        <v>1410</v>
      </c>
      <c r="J294" s="779">
        <v>1.03</v>
      </c>
      <c r="K294" s="780"/>
    </row>
    <row r="295" spans="1:11" ht="21.95" customHeight="1" x14ac:dyDescent="0.2">
      <c r="A295" s="282" t="s">
        <v>1276</v>
      </c>
      <c r="B295" s="282"/>
      <c r="C295" s="283" t="s">
        <v>1307</v>
      </c>
      <c r="D295" s="282" t="s">
        <v>1250</v>
      </c>
      <c r="E295" s="282" t="s">
        <v>1308</v>
      </c>
      <c r="F295" s="282" t="s">
        <v>1278</v>
      </c>
      <c r="G295" s="284" t="s">
        <v>153</v>
      </c>
      <c r="H295" s="283" t="s">
        <v>1650</v>
      </c>
      <c r="I295" s="283" t="s">
        <v>1310</v>
      </c>
      <c r="J295" s="779">
        <v>0.06</v>
      </c>
      <c r="K295" s="780"/>
    </row>
    <row r="296" spans="1:11" ht="21.95" customHeight="1" x14ac:dyDescent="0.2">
      <c r="A296" s="282" t="s">
        <v>1276</v>
      </c>
      <c r="B296" s="282"/>
      <c r="C296" s="283" t="s">
        <v>4057</v>
      </c>
      <c r="D296" s="282" t="s">
        <v>1250</v>
      </c>
      <c r="E296" s="282" t="s">
        <v>4058</v>
      </c>
      <c r="F296" s="282" t="s">
        <v>1278</v>
      </c>
      <c r="G296" s="284" t="s">
        <v>153</v>
      </c>
      <c r="H296" s="283" t="s">
        <v>1339</v>
      </c>
      <c r="I296" s="283" t="s">
        <v>4059</v>
      </c>
      <c r="J296" s="779">
        <v>29.28</v>
      </c>
      <c r="K296" s="780"/>
    </row>
    <row r="297" spans="1:11" ht="21.95" customHeight="1" thickBot="1" x14ac:dyDescent="0.25">
      <c r="A297" s="282" t="s">
        <v>1276</v>
      </c>
      <c r="B297" s="282"/>
      <c r="C297" s="283" t="s">
        <v>4060</v>
      </c>
      <c r="D297" s="282" t="s">
        <v>1246</v>
      </c>
      <c r="E297" s="282" t="s">
        <v>2795</v>
      </c>
      <c r="F297" s="282" t="s">
        <v>1278</v>
      </c>
      <c r="G297" s="284" t="s">
        <v>52</v>
      </c>
      <c r="H297" s="283" t="s">
        <v>1262</v>
      </c>
      <c r="I297" s="283" t="s">
        <v>1279</v>
      </c>
      <c r="J297" s="770">
        <v>280</v>
      </c>
      <c r="K297" s="771"/>
    </row>
    <row r="298" spans="1:11" ht="0.95" customHeight="1" thickTop="1" x14ac:dyDescent="0.2">
      <c r="A298" s="281"/>
      <c r="B298" s="281"/>
      <c r="C298" s="281"/>
      <c r="D298" s="281"/>
      <c r="E298" s="281"/>
      <c r="F298" s="281"/>
      <c r="G298" s="281"/>
      <c r="H298" s="281"/>
      <c r="I298" s="281"/>
      <c r="J298" s="421"/>
      <c r="K298" s="421"/>
    </row>
    <row r="299" spans="1:11" ht="18" customHeight="1" x14ac:dyDescent="0.2">
      <c r="A299" s="272"/>
      <c r="B299" s="272" t="s">
        <v>54</v>
      </c>
      <c r="C299" s="273" t="s">
        <v>1239</v>
      </c>
      <c r="D299" s="272" t="s">
        <v>1240</v>
      </c>
      <c r="E299" s="272" t="s">
        <v>1241</v>
      </c>
      <c r="F299" s="272" t="s">
        <v>1242</v>
      </c>
      <c r="G299" s="274" t="s">
        <v>60</v>
      </c>
      <c r="H299" s="273" t="s">
        <v>58</v>
      </c>
      <c r="I299" s="273" t="s">
        <v>1243</v>
      </c>
      <c r="J299" s="775" t="s">
        <v>196</v>
      </c>
      <c r="K299" s="776"/>
    </row>
    <row r="300" spans="1:11" ht="33" customHeight="1" x14ac:dyDescent="0.2">
      <c r="A300" s="275" t="s">
        <v>1244</v>
      </c>
      <c r="B300" s="275" t="s">
        <v>4061</v>
      </c>
      <c r="C300" s="276" t="s">
        <v>1681</v>
      </c>
      <c r="D300" s="275" t="s">
        <v>1246</v>
      </c>
      <c r="E300" s="275" t="s">
        <v>538</v>
      </c>
      <c r="F300" s="275" t="s">
        <v>1252</v>
      </c>
      <c r="G300" s="277" t="s">
        <v>52</v>
      </c>
      <c r="H300" s="276">
        <v>1</v>
      </c>
      <c r="I300" s="276" t="s">
        <v>1682</v>
      </c>
      <c r="J300" s="777" t="s">
        <v>1682</v>
      </c>
      <c r="K300" s="778"/>
    </row>
    <row r="301" spans="1:11" ht="21.95" customHeight="1" thickBot="1" x14ac:dyDescent="0.25">
      <c r="A301" s="282" t="s">
        <v>1276</v>
      </c>
      <c r="B301" s="282"/>
      <c r="C301" s="283" t="s">
        <v>1683</v>
      </c>
      <c r="D301" s="282" t="s">
        <v>1246</v>
      </c>
      <c r="E301" s="282" t="s">
        <v>1001</v>
      </c>
      <c r="F301" s="282" t="s">
        <v>1278</v>
      </c>
      <c r="G301" s="284" t="s">
        <v>52</v>
      </c>
      <c r="H301" s="283" t="s">
        <v>1262</v>
      </c>
      <c r="I301" s="283" t="s">
        <v>1682</v>
      </c>
      <c r="J301" s="770">
        <v>9.9</v>
      </c>
      <c r="K301" s="771"/>
    </row>
    <row r="302" spans="1:11" ht="0.95" customHeight="1" thickTop="1" x14ac:dyDescent="0.2">
      <c r="A302" s="281"/>
      <c r="B302" s="281"/>
      <c r="C302" s="281"/>
      <c r="D302" s="281"/>
      <c r="E302" s="281"/>
      <c r="F302" s="281"/>
      <c r="G302" s="281"/>
      <c r="H302" s="281"/>
      <c r="I302" s="281"/>
      <c r="J302" s="421"/>
      <c r="K302" s="421"/>
    </row>
    <row r="303" spans="1:11" ht="18" customHeight="1" x14ac:dyDescent="0.2">
      <c r="A303" s="272"/>
      <c r="B303" s="272" t="s">
        <v>54</v>
      </c>
      <c r="C303" s="273" t="s">
        <v>1239</v>
      </c>
      <c r="D303" s="272" t="s">
        <v>1240</v>
      </c>
      <c r="E303" s="272" t="s">
        <v>1241</v>
      </c>
      <c r="F303" s="272" t="s">
        <v>1242</v>
      </c>
      <c r="G303" s="274" t="s">
        <v>60</v>
      </c>
      <c r="H303" s="273" t="s">
        <v>58</v>
      </c>
      <c r="I303" s="273" t="s">
        <v>1243</v>
      </c>
      <c r="J303" s="775" t="s">
        <v>196</v>
      </c>
      <c r="K303" s="776"/>
    </row>
    <row r="304" spans="1:11" ht="21.95" customHeight="1" x14ac:dyDescent="0.2">
      <c r="A304" s="275" t="s">
        <v>1244</v>
      </c>
      <c r="B304" s="275" t="s">
        <v>4062</v>
      </c>
      <c r="C304" s="276" t="s">
        <v>4063</v>
      </c>
      <c r="D304" s="275" t="s">
        <v>1246</v>
      </c>
      <c r="E304" s="275" t="s">
        <v>2820</v>
      </c>
      <c r="F304" s="275" t="s">
        <v>1252</v>
      </c>
      <c r="G304" s="277" t="s">
        <v>75</v>
      </c>
      <c r="H304" s="276">
        <v>1</v>
      </c>
      <c r="I304" s="276" t="s">
        <v>4064</v>
      </c>
      <c r="J304" s="777" t="s">
        <v>4064</v>
      </c>
      <c r="K304" s="778"/>
    </row>
    <row r="305" spans="1:11" ht="21.95" customHeight="1" x14ac:dyDescent="0.2">
      <c r="A305" s="278" t="s">
        <v>1248</v>
      </c>
      <c r="B305" s="278"/>
      <c r="C305" s="279" t="s">
        <v>1273</v>
      </c>
      <c r="D305" s="278" t="s">
        <v>1250</v>
      </c>
      <c r="E305" s="278" t="s">
        <v>1274</v>
      </c>
      <c r="F305" s="278" t="s">
        <v>1252</v>
      </c>
      <c r="G305" s="280" t="s">
        <v>1253</v>
      </c>
      <c r="H305" s="279" t="s">
        <v>1369</v>
      </c>
      <c r="I305" s="279" t="s">
        <v>1275</v>
      </c>
      <c r="J305" s="781">
        <v>1.1100000000000001</v>
      </c>
      <c r="K305" s="782"/>
    </row>
    <row r="306" spans="1:11" ht="21.95" customHeight="1" thickBot="1" x14ac:dyDescent="0.25">
      <c r="A306" s="282" t="s">
        <v>1276</v>
      </c>
      <c r="B306" s="282"/>
      <c r="C306" s="283" t="s">
        <v>4065</v>
      </c>
      <c r="D306" s="282" t="s">
        <v>1246</v>
      </c>
      <c r="E306" s="282" t="s">
        <v>3924</v>
      </c>
      <c r="F306" s="282" t="s">
        <v>1278</v>
      </c>
      <c r="G306" s="284" t="s">
        <v>52</v>
      </c>
      <c r="H306" s="283" t="s">
        <v>2518</v>
      </c>
      <c r="I306" s="283" t="s">
        <v>4066</v>
      </c>
      <c r="J306" s="770">
        <v>13.99</v>
      </c>
      <c r="K306" s="771"/>
    </row>
    <row r="307" spans="1:11" ht="0.95" customHeight="1" thickTop="1" x14ac:dyDescent="0.2">
      <c r="A307" s="281"/>
      <c r="B307" s="281"/>
      <c r="C307" s="281"/>
      <c r="D307" s="281"/>
      <c r="E307" s="281"/>
      <c r="F307" s="281"/>
      <c r="G307" s="281"/>
      <c r="H307" s="281"/>
      <c r="I307" s="281"/>
      <c r="J307" s="421"/>
      <c r="K307" s="421"/>
    </row>
    <row r="308" spans="1:11" ht="18" customHeight="1" x14ac:dyDescent="0.2">
      <c r="A308" s="272"/>
      <c r="B308" s="272" t="s">
        <v>54</v>
      </c>
      <c r="C308" s="273" t="s">
        <v>1239</v>
      </c>
      <c r="D308" s="272" t="s">
        <v>1240</v>
      </c>
      <c r="E308" s="272" t="s">
        <v>1241</v>
      </c>
      <c r="F308" s="272" t="s">
        <v>1242</v>
      </c>
      <c r="G308" s="274" t="s">
        <v>60</v>
      </c>
      <c r="H308" s="273" t="s">
        <v>58</v>
      </c>
      <c r="I308" s="273" t="s">
        <v>1243</v>
      </c>
      <c r="J308" s="775" t="s">
        <v>196</v>
      </c>
      <c r="K308" s="776"/>
    </row>
    <row r="309" spans="1:11" ht="33" customHeight="1" x14ac:dyDescent="0.2">
      <c r="A309" s="275" t="s">
        <v>1244</v>
      </c>
      <c r="B309" s="275" t="s">
        <v>4067</v>
      </c>
      <c r="C309" s="276" t="s">
        <v>4068</v>
      </c>
      <c r="D309" s="275" t="s">
        <v>1246</v>
      </c>
      <c r="E309" s="275" t="s">
        <v>2822</v>
      </c>
      <c r="F309" s="275" t="s">
        <v>1395</v>
      </c>
      <c r="G309" s="277" t="s">
        <v>77</v>
      </c>
      <c r="H309" s="276">
        <v>1</v>
      </c>
      <c r="I309" s="276" t="s">
        <v>4069</v>
      </c>
      <c r="J309" s="777" t="s">
        <v>4069</v>
      </c>
      <c r="K309" s="778"/>
    </row>
    <row r="310" spans="1:11" ht="21.95" customHeight="1" x14ac:dyDescent="0.2">
      <c r="A310" s="278" t="s">
        <v>1248</v>
      </c>
      <c r="B310" s="278"/>
      <c r="C310" s="279" t="s">
        <v>1273</v>
      </c>
      <c r="D310" s="278" t="s">
        <v>1250</v>
      </c>
      <c r="E310" s="278" t="s">
        <v>1274</v>
      </c>
      <c r="F310" s="278" t="s">
        <v>1252</v>
      </c>
      <c r="G310" s="280" t="s">
        <v>1253</v>
      </c>
      <c r="H310" s="279" t="s">
        <v>1619</v>
      </c>
      <c r="I310" s="279" t="s">
        <v>1275</v>
      </c>
      <c r="J310" s="781">
        <v>2.77</v>
      </c>
      <c r="K310" s="782"/>
    </row>
    <row r="311" spans="1:11" ht="21.95" customHeight="1" x14ac:dyDescent="0.2">
      <c r="A311" s="278" t="s">
        <v>1248</v>
      </c>
      <c r="B311" s="278"/>
      <c r="C311" s="279" t="s">
        <v>1448</v>
      </c>
      <c r="D311" s="278" t="s">
        <v>1250</v>
      </c>
      <c r="E311" s="278" t="s">
        <v>1449</v>
      </c>
      <c r="F311" s="278" t="s">
        <v>1252</v>
      </c>
      <c r="G311" s="280" t="s">
        <v>1253</v>
      </c>
      <c r="H311" s="279" t="s">
        <v>1346</v>
      </c>
      <c r="I311" s="279" t="s">
        <v>1451</v>
      </c>
      <c r="J311" s="781">
        <v>6.81</v>
      </c>
      <c r="K311" s="782"/>
    </row>
    <row r="312" spans="1:11" ht="21.95" customHeight="1" thickBot="1" x14ac:dyDescent="0.25">
      <c r="A312" s="282" t="s">
        <v>1276</v>
      </c>
      <c r="B312" s="282"/>
      <c r="C312" s="283" t="s">
        <v>4070</v>
      </c>
      <c r="D312" s="282" t="s">
        <v>1246</v>
      </c>
      <c r="E312" s="282" t="s">
        <v>3800</v>
      </c>
      <c r="F312" s="282" t="s">
        <v>1278</v>
      </c>
      <c r="G312" s="284" t="s">
        <v>749</v>
      </c>
      <c r="H312" s="283" t="s">
        <v>1636</v>
      </c>
      <c r="I312" s="283" t="s">
        <v>4071</v>
      </c>
      <c r="J312" s="770">
        <v>7.11</v>
      </c>
      <c r="K312" s="771"/>
    </row>
    <row r="313" spans="1:11" ht="0.95" customHeight="1" thickTop="1" x14ac:dyDescent="0.2">
      <c r="A313" s="281"/>
      <c r="B313" s="281"/>
      <c r="C313" s="281"/>
      <c r="D313" s="281"/>
      <c r="E313" s="281"/>
      <c r="F313" s="281"/>
      <c r="G313" s="281"/>
      <c r="H313" s="281"/>
      <c r="I313" s="281"/>
      <c r="J313" s="421"/>
      <c r="K313" s="421"/>
    </row>
    <row r="314" spans="1:11" ht="18" customHeight="1" x14ac:dyDescent="0.2">
      <c r="A314" s="272"/>
      <c r="B314" s="272" t="s">
        <v>54</v>
      </c>
      <c r="C314" s="273" t="s">
        <v>1239</v>
      </c>
      <c r="D314" s="272" t="s">
        <v>1240</v>
      </c>
      <c r="E314" s="272" t="s">
        <v>1241</v>
      </c>
      <c r="F314" s="272" t="s">
        <v>1242</v>
      </c>
      <c r="G314" s="274" t="s">
        <v>60</v>
      </c>
      <c r="H314" s="273" t="s">
        <v>58</v>
      </c>
      <c r="I314" s="273" t="s">
        <v>1243</v>
      </c>
      <c r="J314" s="775" t="s">
        <v>196</v>
      </c>
      <c r="K314" s="776"/>
    </row>
    <row r="315" spans="1:11" ht="21.95" customHeight="1" x14ac:dyDescent="0.2">
      <c r="A315" s="275" t="s">
        <v>1244</v>
      </c>
      <c r="B315" s="275" t="s">
        <v>4072</v>
      </c>
      <c r="C315" s="276" t="s">
        <v>4073</v>
      </c>
      <c r="D315" s="275" t="s">
        <v>1246</v>
      </c>
      <c r="E315" s="275" t="s">
        <v>2824</v>
      </c>
      <c r="F315" s="275" t="s">
        <v>1252</v>
      </c>
      <c r="G315" s="277" t="s">
        <v>52</v>
      </c>
      <c r="H315" s="276">
        <v>1</v>
      </c>
      <c r="I315" s="276" t="s">
        <v>4074</v>
      </c>
      <c r="J315" s="777" t="s">
        <v>4074</v>
      </c>
      <c r="K315" s="778"/>
    </row>
    <row r="316" spans="1:11" ht="21.95" customHeight="1" thickBot="1" x14ac:dyDescent="0.25">
      <c r="A316" s="282" t="s">
        <v>1276</v>
      </c>
      <c r="B316" s="282"/>
      <c r="C316" s="283" t="s">
        <v>4075</v>
      </c>
      <c r="D316" s="282" t="s">
        <v>1246</v>
      </c>
      <c r="E316" s="282" t="s">
        <v>3910</v>
      </c>
      <c r="F316" s="282" t="s">
        <v>1278</v>
      </c>
      <c r="G316" s="284" t="s">
        <v>52</v>
      </c>
      <c r="H316" s="283" t="s">
        <v>1262</v>
      </c>
      <c r="I316" s="283" t="s">
        <v>4074</v>
      </c>
      <c r="J316" s="770">
        <v>19.899999999999999</v>
      </c>
      <c r="K316" s="771"/>
    </row>
    <row r="317" spans="1:11" ht="0.95" customHeight="1" thickTop="1" x14ac:dyDescent="0.2">
      <c r="A317" s="281"/>
      <c r="B317" s="281"/>
      <c r="C317" s="281"/>
      <c r="D317" s="281"/>
      <c r="E317" s="281"/>
      <c r="F317" s="281"/>
      <c r="G317" s="281"/>
      <c r="H317" s="281"/>
      <c r="I317" s="281"/>
      <c r="J317" s="421"/>
      <c r="K317" s="421"/>
    </row>
    <row r="318" spans="1:11" ht="18" customHeight="1" x14ac:dyDescent="0.2">
      <c r="A318" s="272"/>
      <c r="B318" s="272" t="s">
        <v>54</v>
      </c>
      <c r="C318" s="273" t="s">
        <v>1239</v>
      </c>
      <c r="D318" s="272" t="s">
        <v>1240</v>
      </c>
      <c r="E318" s="272" t="s">
        <v>1241</v>
      </c>
      <c r="F318" s="272" t="s">
        <v>1242</v>
      </c>
      <c r="G318" s="274" t="s">
        <v>60</v>
      </c>
      <c r="H318" s="273" t="s">
        <v>58</v>
      </c>
      <c r="I318" s="273" t="s">
        <v>1243</v>
      </c>
      <c r="J318" s="775" t="s">
        <v>196</v>
      </c>
      <c r="K318" s="776"/>
    </row>
    <row r="319" spans="1:11" ht="21.95" customHeight="1" x14ac:dyDescent="0.2">
      <c r="A319" s="275" t="s">
        <v>1244</v>
      </c>
      <c r="B319" s="275" t="s">
        <v>4076</v>
      </c>
      <c r="C319" s="276" t="s">
        <v>1684</v>
      </c>
      <c r="D319" s="275" t="s">
        <v>1246</v>
      </c>
      <c r="E319" s="275" t="s">
        <v>540</v>
      </c>
      <c r="F319" s="275" t="s">
        <v>1252</v>
      </c>
      <c r="G319" s="277" t="s">
        <v>52</v>
      </c>
      <c r="H319" s="276">
        <v>1</v>
      </c>
      <c r="I319" s="276" t="s">
        <v>1685</v>
      </c>
      <c r="J319" s="777" t="s">
        <v>1685</v>
      </c>
      <c r="K319" s="778"/>
    </row>
    <row r="320" spans="1:11" ht="21.95" customHeight="1" thickBot="1" x14ac:dyDescent="0.25">
      <c r="A320" s="282" t="s">
        <v>1276</v>
      </c>
      <c r="B320" s="282"/>
      <c r="C320" s="283" t="s">
        <v>1686</v>
      </c>
      <c r="D320" s="282" t="s">
        <v>1246</v>
      </c>
      <c r="E320" s="282" t="s">
        <v>540</v>
      </c>
      <c r="F320" s="282" t="s">
        <v>1278</v>
      </c>
      <c r="G320" s="284" t="s">
        <v>52</v>
      </c>
      <c r="H320" s="283" t="s">
        <v>1262</v>
      </c>
      <c r="I320" s="283" t="s">
        <v>1685</v>
      </c>
      <c r="J320" s="770">
        <v>3545</v>
      </c>
      <c r="K320" s="771"/>
    </row>
    <row r="321" spans="1:11" ht="0.95" customHeight="1" thickTop="1" x14ac:dyDescent="0.2">
      <c r="A321" s="281"/>
      <c r="B321" s="281"/>
      <c r="C321" s="281"/>
      <c r="D321" s="281"/>
      <c r="E321" s="281"/>
      <c r="F321" s="281"/>
      <c r="G321" s="281"/>
      <c r="H321" s="281"/>
      <c r="I321" s="281"/>
      <c r="J321" s="421"/>
      <c r="K321" s="421"/>
    </row>
    <row r="322" spans="1:11" ht="18" customHeight="1" x14ac:dyDescent="0.2">
      <c r="A322" s="272"/>
      <c r="B322" s="272" t="s">
        <v>54</v>
      </c>
      <c r="C322" s="273" t="s">
        <v>1239</v>
      </c>
      <c r="D322" s="272" t="s">
        <v>1240</v>
      </c>
      <c r="E322" s="272" t="s">
        <v>1241</v>
      </c>
      <c r="F322" s="272" t="s">
        <v>1242</v>
      </c>
      <c r="G322" s="274" t="s">
        <v>60</v>
      </c>
      <c r="H322" s="273" t="s">
        <v>58</v>
      </c>
      <c r="I322" s="273" t="s">
        <v>1243</v>
      </c>
      <c r="J322" s="775" t="s">
        <v>196</v>
      </c>
      <c r="K322" s="776"/>
    </row>
    <row r="323" spans="1:11" ht="21.95" customHeight="1" x14ac:dyDescent="0.2">
      <c r="A323" s="275" t="s">
        <v>1244</v>
      </c>
      <c r="B323" s="275" t="s">
        <v>4077</v>
      </c>
      <c r="C323" s="276" t="s">
        <v>1659</v>
      </c>
      <c r="D323" s="275" t="s">
        <v>1246</v>
      </c>
      <c r="E323" s="275" t="s">
        <v>536</v>
      </c>
      <c r="F323" s="275" t="s">
        <v>1252</v>
      </c>
      <c r="G323" s="277" t="s">
        <v>77</v>
      </c>
      <c r="H323" s="276">
        <v>1</v>
      </c>
      <c r="I323" s="276" t="s">
        <v>1660</v>
      </c>
      <c r="J323" s="777" t="s">
        <v>1660</v>
      </c>
      <c r="K323" s="778"/>
    </row>
    <row r="324" spans="1:11" ht="21.95" customHeight="1" x14ac:dyDescent="0.2">
      <c r="A324" s="278" t="s">
        <v>1248</v>
      </c>
      <c r="B324" s="278"/>
      <c r="C324" s="279" t="s">
        <v>1525</v>
      </c>
      <c r="D324" s="278" t="s">
        <v>1250</v>
      </c>
      <c r="E324" s="278" t="s">
        <v>1526</v>
      </c>
      <c r="F324" s="278" t="s">
        <v>1252</v>
      </c>
      <c r="G324" s="280" t="s">
        <v>1253</v>
      </c>
      <c r="H324" s="279" t="s">
        <v>1661</v>
      </c>
      <c r="I324" s="279" t="s">
        <v>1528</v>
      </c>
      <c r="J324" s="781">
        <v>25.44</v>
      </c>
      <c r="K324" s="782"/>
    </row>
    <row r="325" spans="1:11" ht="21.95" customHeight="1" x14ac:dyDescent="0.2">
      <c r="A325" s="278" t="s">
        <v>1248</v>
      </c>
      <c r="B325" s="278"/>
      <c r="C325" s="279" t="s">
        <v>1273</v>
      </c>
      <c r="D325" s="278" t="s">
        <v>1250</v>
      </c>
      <c r="E325" s="278" t="s">
        <v>1274</v>
      </c>
      <c r="F325" s="278" t="s">
        <v>1252</v>
      </c>
      <c r="G325" s="280" t="s">
        <v>1253</v>
      </c>
      <c r="H325" s="279" t="s">
        <v>1662</v>
      </c>
      <c r="I325" s="279" t="s">
        <v>1275</v>
      </c>
      <c r="J325" s="781">
        <v>17.36</v>
      </c>
      <c r="K325" s="782"/>
    </row>
    <row r="326" spans="1:11" ht="21.95" customHeight="1" x14ac:dyDescent="0.2">
      <c r="A326" s="282" t="s">
        <v>1276</v>
      </c>
      <c r="B326" s="282"/>
      <c r="C326" s="283" t="s">
        <v>1663</v>
      </c>
      <c r="D326" s="282" t="s">
        <v>1250</v>
      </c>
      <c r="E326" s="282" t="s">
        <v>1664</v>
      </c>
      <c r="F326" s="282" t="s">
        <v>1278</v>
      </c>
      <c r="G326" s="284" t="s">
        <v>71</v>
      </c>
      <c r="H326" s="283" t="s">
        <v>1665</v>
      </c>
      <c r="I326" s="283" t="s">
        <v>1666</v>
      </c>
      <c r="J326" s="779">
        <v>1.39</v>
      </c>
      <c r="K326" s="780"/>
    </row>
    <row r="327" spans="1:11" ht="21.95" customHeight="1" x14ac:dyDescent="0.2">
      <c r="A327" s="282" t="s">
        <v>1276</v>
      </c>
      <c r="B327" s="282"/>
      <c r="C327" s="283" t="s">
        <v>1307</v>
      </c>
      <c r="D327" s="282" t="s">
        <v>1250</v>
      </c>
      <c r="E327" s="282" t="s">
        <v>1308</v>
      </c>
      <c r="F327" s="282" t="s">
        <v>1278</v>
      </c>
      <c r="G327" s="284" t="s">
        <v>153</v>
      </c>
      <c r="H327" s="283" t="s">
        <v>1667</v>
      </c>
      <c r="I327" s="283" t="s">
        <v>1310</v>
      </c>
      <c r="J327" s="779">
        <v>1.0900000000000001</v>
      </c>
      <c r="K327" s="780"/>
    </row>
    <row r="328" spans="1:11" ht="21.95" customHeight="1" x14ac:dyDescent="0.2">
      <c r="A328" s="282" t="s">
        <v>1276</v>
      </c>
      <c r="B328" s="282"/>
      <c r="C328" s="283" t="s">
        <v>1407</v>
      </c>
      <c r="D328" s="282" t="s">
        <v>1250</v>
      </c>
      <c r="E328" s="282" t="s">
        <v>1408</v>
      </c>
      <c r="F328" s="282" t="s">
        <v>1278</v>
      </c>
      <c r="G328" s="284" t="s">
        <v>71</v>
      </c>
      <c r="H328" s="283" t="s">
        <v>1668</v>
      </c>
      <c r="I328" s="283" t="s">
        <v>1410</v>
      </c>
      <c r="J328" s="779">
        <v>1.31</v>
      </c>
      <c r="K328" s="780"/>
    </row>
    <row r="329" spans="1:11" ht="21.95" customHeight="1" thickBot="1" x14ac:dyDescent="0.25">
      <c r="A329" s="282" t="s">
        <v>1276</v>
      </c>
      <c r="B329" s="282"/>
      <c r="C329" s="283" t="s">
        <v>1669</v>
      </c>
      <c r="D329" s="282" t="s">
        <v>1246</v>
      </c>
      <c r="E329" s="282" t="s">
        <v>925</v>
      </c>
      <c r="F329" s="282" t="s">
        <v>1278</v>
      </c>
      <c r="G329" s="284" t="s">
        <v>52</v>
      </c>
      <c r="H329" s="283" t="s">
        <v>1670</v>
      </c>
      <c r="I329" s="283" t="s">
        <v>1671</v>
      </c>
      <c r="J329" s="770">
        <v>124.96</v>
      </c>
      <c r="K329" s="771"/>
    </row>
    <row r="330" spans="1:11" ht="0.95" customHeight="1" thickTop="1" x14ac:dyDescent="0.2">
      <c r="A330" s="281"/>
      <c r="B330" s="281"/>
      <c r="C330" s="281"/>
      <c r="D330" s="281"/>
      <c r="E330" s="281"/>
      <c r="F330" s="281"/>
      <c r="G330" s="281"/>
      <c r="H330" s="281"/>
      <c r="I330" s="281"/>
      <c r="J330" s="421"/>
      <c r="K330" s="421"/>
    </row>
    <row r="331" spans="1:11" ht="18" customHeight="1" x14ac:dyDescent="0.2">
      <c r="A331" s="272"/>
      <c r="B331" s="272" t="s">
        <v>54</v>
      </c>
      <c r="C331" s="273" t="s">
        <v>1239</v>
      </c>
      <c r="D331" s="272" t="s">
        <v>1240</v>
      </c>
      <c r="E331" s="272" t="s">
        <v>1241</v>
      </c>
      <c r="F331" s="272" t="s">
        <v>1242</v>
      </c>
      <c r="G331" s="274" t="s">
        <v>60</v>
      </c>
      <c r="H331" s="273" t="s">
        <v>58</v>
      </c>
      <c r="I331" s="273" t="s">
        <v>1243</v>
      </c>
      <c r="J331" s="775" t="s">
        <v>196</v>
      </c>
      <c r="K331" s="776"/>
    </row>
    <row r="332" spans="1:11" ht="21.95" customHeight="1" x14ac:dyDescent="0.2">
      <c r="A332" s="275" t="s">
        <v>1244</v>
      </c>
      <c r="B332" s="275" t="s">
        <v>4078</v>
      </c>
      <c r="C332" s="276" t="s">
        <v>1672</v>
      </c>
      <c r="D332" s="275" t="s">
        <v>1246</v>
      </c>
      <c r="E332" s="275" t="s">
        <v>332</v>
      </c>
      <c r="F332" s="275" t="s">
        <v>1252</v>
      </c>
      <c r="G332" s="277" t="s">
        <v>77</v>
      </c>
      <c r="H332" s="276">
        <v>1</v>
      </c>
      <c r="I332" s="276" t="s">
        <v>1673</v>
      </c>
      <c r="J332" s="777" t="s">
        <v>1673</v>
      </c>
      <c r="K332" s="778"/>
    </row>
    <row r="333" spans="1:11" ht="21.95" customHeight="1" x14ac:dyDescent="0.2">
      <c r="A333" s="278" t="s">
        <v>1248</v>
      </c>
      <c r="B333" s="278"/>
      <c r="C333" s="279" t="s">
        <v>1273</v>
      </c>
      <c r="D333" s="278" t="s">
        <v>1250</v>
      </c>
      <c r="E333" s="278" t="s">
        <v>1274</v>
      </c>
      <c r="F333" s="278" t="s">
        <v>1252</v>
      </c>
      <c r="G333" s="280" t="s">
        <v>1253</v>
      </c>
      <c r="H333" s="279" t="s">
        <v>1624</v>
      </c>
      <c r="I333" s="279" t="s">
        <v>1275</v>
      </c>
      <c r="J333" s="781">
        <v>2.36</v>
      </c>
      <c r="K333" s="782"/>
    </row>
    <row r="334" spans="1:11" ht="21.95" customHeight="1" x14ac:dyDescent="0.2">
      <c r="A334" s="278" t="s">
        <v>1248</v>
      </c>
      <c r="B334" s="278"/>
      <c r="C334" s="279" t="s">
        <v>1269</v>
      </c>
      <c r="D334" s="278" t="s">
        <v>1250</v>
      </c>
      <c r="E334" s="278" t="s">
        <v>1270</v>
      </c>
      <c r="F334" s="278" t="s">
        <v>1252</v>
      </c>
      <c r="G334" s="280" t="s">
        <v>1253</v>
      </c>
      <c r="H334" s="279" t="s">
        <v>1624</v>
      </c>
      <c r="I334" s="279" t="s">
        <v>1272</v>
      </c>
      <c r="J334" s="781">
        <v>2.9</v>
      </c>
      <c r="K334" s="782"/>
    </row>
    <row r="335" spans="1:11" ht="21.95" customHeight="1" x14ac:dyDescent="0.2">
      <c r="A335" s="282" t="s">
        <v>1276</v>
      </c>
      <c r="B335" s="282"/>
      <c r="C335" s="283" t="s">
        <v>1674</v>
      </c>
      <c r="D335" s="282" t="s">
        <v>1250</v>
      </c>
      <c r="E335" s="282" t="s">
        <v>1675</v>
      </c>
      <c r="F335" s="282" t="s">
        <v>1278</v>
      </c>
      <c r="G335" s="284" t="s">
        <v>77</v>
      </c>
      <c r="H335" s="283" t="s">
        <v>1262</v>
      </c>
      <c r="I335" s="283" t="s">
        <v>1676</v>
      </c>
      <c r="J335" s="779">
        <v>141.91</v>
      </c>
      <c r="K335" s="780"/>
    </row>
    <row r="336" spans="1:11" ht="21.95" customHeight="1" thickBot="1" x14ac:dyDescent="0.25">
      <c r="A336" s="282" t="s">
        <v>1276</v>
      </c>
      <c r="B336" s="282"/>
      <c r="C336" s="283" t="s">
        <v>1677</v>
      </c>
      <c r="D336" s="282" t="s">
        <v>1250</v>
      </c>
      <c r="E336" s="282" t="s">
        <v>1678</v>
      </c>
      <c r="F336" s="282" t="s">
        <v>1278</v>
      </c>
      <c r="G336" s="284" t="s">
        <v>71</v>
      </c>
      <c r="H336" s="283" t="s">
        <v>1679</v>
      </c>
      <c r="I336" s="283" t="s">
        <v>1680</v>
      </c>
      <c r="J336" s="770">
        <v>4.83</v>
      </c>
      <c r="K336" s="771"/>
    </row>
    <row r="337" spans="1:11" ht="0.95" customHeight="1" thickTop="1" x14ac:dyDescent="0.2">
      <c r="A337" s="281"/>
      <c r="B337" s="281"/>
      <c r="C337" s="281"/>
      <c r="D337" s="281"/>
      <c r="E337" s="281"/>
      <c r="F337" s="281"/>
      <c r="G337" s="281"/>
      <c r="H337" s="281"/>
      <c r="I337" s="281"/>
      <c r="J337" s="421"/>
      <c r="K337" s="421"/>
    </row>
    <row r="338" spans="1:11" ht="18" customHeight="1" x14ac:dyDescent="0.2">
      <c r="A338" s="272"/>
      <c r="B338" s="272" t="s">
        <v>54</v>
      </c>
      <c r="C338" s="273" t="s">
        <v>1239</v>
      </c>
      <c r="D338" s="272" t="s">
        <v>1240</v>
      </c>
      <c r="E338" s="272" t="s">
        <v>1241</v>
      </c>
      <c r="F338" s="272" t="s">
        <v>1242</v>
      </c>
      <c r="G338" s="274" t="s">
        <v>60</v>
      </c>
      <c r="H338" s="273" t="s">
        <v>58</v>
      </c>
      <c r="I338" s="273" t="s">
        <v>1243</v>
      </c>
      <c r="J338" s="775" t="s">
        <v>196</v>
      </c>
      <c r="K338" s="776"/>
    </row>
    <row r="339" spans="1:11" ht="33" customHeight="1" x14ac:dyDescent="0.2">
      <c r="A339" s="275" t="s">
        <v>1244</v>
      </c>
      <c r="B339" s="275" t="s">
        <v>4079</v>
      </c>
      <c r="C339" s="276" t="s">
        <v>1881</v>
      </c>
      <c r="D339" s="275" t="s">
        <v>1246</v>
      </c>
      <c r="E339" s="275" t="s">
        <v>593</v>
      </c>
      <c r="F339" s="275" t="s">
        <v>1252</v>
      </c>
      <c r="G339" s="277" t="s">
        <v>52</v>
      </c>
      <c r="H339" s="276">
        <v>1</v>
      </c>
      <c r="I339" s="276" t="s">
        <v>1882</v>
      </c>
      <c r="J339" s="777" t="s">
        <v>1882</v>
      </c>
      <c r="K339" s="778"/>
    </row>
    <row r="340" spans="1:11" ht="54.95" customHeight="1" x14ac:dyDescent="0.2">
      <c r="A340" s="278" t="s">
        <v>1248</v>
      </c>
      <c r="B340" s="278"/>
      <c r="C340" s="279" t="s">
        <v>1808</v>
      </c>
      <c r="D340" s="278" t="s">
        <v>1250</v>
      </c>
      <c r="E340" s="278" t="s">
        <v>1809</v>
      </c>
      <c r="F340" s="278" t="s">
        <v>1379</v>
      </c>
      <c r="G340" s="280" t="s">
        <v>77</v>
      </c>
      <c r="H340" s="279" t="s">
        <v>1883</v>
      </c>
      <c r="I340" s="279" t="s">
        <v>1811</v>
      </c>
      <c r="J340" s="781">
        <v>401.52</v>
      </c>
      <c r="K340" s="782"/>
    </row>
    <row r="341" spans="1:11" ht="44.1" customHeight="1" x14ac:dyDescent="0.2">
      <c r="A341" s="278" t="s">
        <v>1248</v>
      </c>
      <c r="B341" s="278"/>
      <c r="C341" s="279" t="s">
        <v>1815</v>
      </c>
      <c r="D341" s="278" t="s">
        <v>1250</v>
      </c>
      <c r="E341" s="278" t="s">
        <v>1816</v>
      </c>
      <c r="F341" s="278" t="s">
        <v>1351</v>
      </c>
      <c r="G341" s="280" t="s">
        <v>77</v>
      </c>
      <c r="H341" s="279" t="s">
        <v>1884</v>
      </c>
      <c r="I341" s="279" t="s">
        <v>1818</v>
      </c>
      <c r="J341" s="781">
        <v>34.67</v>
      </c>
      <c r="K341" s="782"/>
    </row>
    <row r="342" spans="1:11" ht="54.95" customHeight="1" x14ac:dyDescent="0.2">
      <c r="A342" s="278" t="s">
        <v>1248</v>
      </c>
      <c r="B342" s="278"/>
      <c r="C342" s="279" t="s">
        <v>1823</v>
      </c>
      <c r="D342" s="278" t="s">
        <v>1250</v>
      </c>
      <c r="E342" s="278" t="s">
        <v>1824</v>
      </c>
      <c r="F342" s="278" t="s">
        <v>1351</v>
      </c>
      <c r="G342" s="280" t="s">
        <v>77</v>
      </c>
      <c r="H342" s="279" t="s">
        <v>1884</v>
      </c>
      <c r="I342" s="279" t="s">
        <v>1825</v>
      </c>
      <c r="J342" s="781">
        <v>304.95</v>
      </c>
      <c r="K342" s="782"/>
    </row>
    <row r="343" spans="1:11" ht="33" customHeight="1" x14ac:dyDescent="0.2">
      <c r="A343" s="278" t="s">
        <v>1248</v>
      </c>
      <c r="B343" s="278"/>
      <c r="C343" s="279" t="s">
        <v>1845</v>
      </c>
      <c r="D343" s="278" t="s">
        <v>1250</v>
      </c>
      <c r="E343" s="278" t="s">
        <v>1846</v>
      </c>
      <c r="F343" s="278" t="s">
        <v>1364</v>
      </c>
      <c r="G343" s="280" t="s">
        <v>77</v>
      </c>
      <c r="H343" s="279" t="s">
        <v>1885</v>
      </c>
      <c r="I343" s="279" t="s">
        <v>1848</v>
      </c>
      <c r="J343" s="781">
        <v>150.47999999999999</v>
      </c>
      <c r="K343" s="782"/>
    </row>
    <row r="344" spans="1:11" ht="33" customHeight="1" x14ac:dyDescent="0.2">
      <c r="A344" s="278" t="s">
        <v>1248</v>
      </c>
      <c r="B344" s="278"/>
      <c r="C344" s="279" t="s">
        <v>1886</v>
      </c>
      <c r="D344" s="278" t="s">
        <v>1250</v>
      </c>
      <c r="E344" s="278" t="s">
        <v>1887</v>
      </c>
      <c r="F344" s="278" t="s">
        <v>1364</v>
      </c>
      <c r="G344" s="280" t="s">
        <v>153</v>
      </c>
      <c r="H344" s="279" t="s">
        <v>1888</v>
      </c>
      <c r="I344" s="279" t="s">
        <v>1889</v>
      </c>
      <c r="J344" s="781">
        <v>45.26</v>
      </c>
      <c r="K344" s="782"/>
    </row>
    <row r="345" spans="1:11" ht="33" customHeight="1" x14ac:dyDescent="0.2">
      <c r="A345" s="278" t="s">
        <v>1248</v>
      </c>
      <c r="B345" s="278"/>
      <c r="C345" s="279" t="s">
        <v>1855</v>
      </c>
      <c r="D345" s="278" t="s">
        <v>1250</v>
      </c>
      <c r="E345" s="278" t="s">
        <v>1856</v>
      </c>
      <c r="F345" s="278" t="s">
        <v>1353</v>
      </c>
      <c r="G345" s="280" t="s">
        <v>77</v>
      </c>
      <c r="H345" s="279" t="s">
        <v>1510</v>
      </c>
      <c r="I345" s="279" t="s">
        <v>1858</v>
      </c>
      <c r="J345" s="781">
        <v>2670.02</v>
      </c>
      <c r="K345" s="782"/>
    </row>
    <row r="346" spans="1:11" ht="33" customHeight="1" x14ac:dyDescent="0.2">
      <c r="A346" s="278" t="s">
        <v>1248</v>
      </c>
      <c r="B346" s="278"/>
      <c r="C346" s="279" t="s">
        <v>1890</v>
      </c>
      <c r="D346" s="278" t="s">
        <v>1250</v>
      </c>
      <c r="E346" s="278" t="s">
        <v>1891</v>
      </c>
      <c r="F346" s="278" t="s">
        <v>1358</v>
      </c>
      <c r="G346" s="280" t="s">
        <v>75</v>
      </c>
      <c r="H346" s="279" t="s">
        <v>1892</v>
      </c>
      <c r="I346" s="279" t="s">
        <v>1893</v>
      </c>
      <c r="J346" s="781">
        <v>537.46</v>
      </c>
      <c r="K346" s="782"/>
    </row>
    <row r="347" spans="1:11" ht="21.95" customHeight="1" x14ac:dyDescent="0.2">
      <c r="A347" s="278" t="s">
        <v>1248</v>
      </c>
      <c r="B347" s="278"/>
      <c r="C347" s="279" t="s">
        <v>1894</v>
      </c>
      <c r="D347" s="278" t="s">
        <v>1250</v>
      </c>
      <c r="E347" s="278" t="s">
        <v>410</v>
      </c>
      <c r="F347" s="278" t="s">
        <v>1353</v>
      </c>
      <c r="G347" s="280" t="s">
        <v>77</v>
      </c>
      <c r="H347" s="279" t="s">
        <v>1290</v>
      </c>
      <c r="I347" s="279" t="s">
        <v>1895</v>
      </c>
      <c r="J347" s="781">
        <v>1514.2</v>
      </c>
      <c r="K347" s="782"/>
    </row>
    <row r="348" spans="1:11" ht="21.95" customHeight="1" x14ac:dyDescent="0.2">
      <c r="A348" s="278" t="s">
        <v>1248</v>
      </c>
      <c r="B348" s="278"/>
      <c r="C348" s="279" t="s">
        <v>1394</v>
      </c>
      <c r="D348" s="278" t="s">
        <v>1250</v>
      </c>
      <c r="E348" s="278" t="s">
        <v>349</v>
      </c>
      <c r="F348" s="278" t="s">
        <v>1395</v>
      </c>
      <c r="G348" s="280" t="s">
        <v>77</v>
      </c>
      <c r="H348" s="279" t="s">
        <v>1884</v>
      </c>
      <c r="I348" s="279" t="s">
        <v>1397</v>
      </c>
      <c r="J348" s="781">
        <v>20.02</v>
      </c>
      <c r="K348" s="782"/>
    </row>
    <row r="349" spans="1:11" ht="21.95" customHeight="1" x14ac:dyDescent="0.2">
      <c r="A349" s="278" t="s">
        <v>1248</v>
      </c>
      <c r="B349" s="278"/>
      <c r="C349" s="279" t="s">
        <v>1896</v>
      </c>
      <c r="D349" s="278" t="s">
        <v>1250</v>
      </c>
      <c r="E349" s="278" t="s">
        <v>1897</v>
      </c>
      <c r="F349" s="278" t="s">
        <v>1395</v>
      </c>
      <c r="G349" s="280" t="s">
        <v>77</v>
      </c>
      <c r="H349" s="279" t="s">
        <v>1491</v>
      </c>
      <c r="I349" s="279" t="s">
        <v>1898</v>
      </c>
      <c r="J349" s="781">
        <v>6.65</v>
      </c>
      <c r="K349" s="782"/>
    </row>
    <row r="350" spans="1:11" ht="21.95" customHeight="1" x14ac:dyDescent="0.2">
      <c r="A350" s="278" t="s">
        <v>1248</v>
      </c>
      <c r="B350" s="278"/>
      <c r="C350" s="279" t="s">
        <v>1398</v>
      </c>
      <c r="D350" s="278" t="s">
        <v>1250</v>
      </c>
      <c r="E350" s="278" t="s">
        <v>328</v>
      </c>
      <c r="F350" s="278" t="s">
        <v>1395</v>
      </c>
      <c r="G350" s="280" t="s">
        <v>77</v>
      </c>
      <c r="H350" s="279" t="s">
        <v>1884</v>
      </c>
      <c r="I350" s="279" t="s">
        <v>1399</v>
      </c>
      <c r="J350" s="781">
        <v>131.44</v>
      </c>
      <c r="K350" s="782"/>
    </row>
    <row r="351" spans="1:11" ht="21.95" customHeight="1" x14ac:dyDescent="0.2">
      <c r="A351" s="278" t="s">
        <v>1248</v>
      </c>
      <c r="B351" s="278"/>
      <c r="C351" s="279" t="s">
        <v>1899</v>
      </c>
      <c r="D351" s="278" t="s">
        <v>1250</v>
      </c>
      <c r="E351" s="278" t="s">
        <v>1900</v>
      </c>
      <c r="F351" s="278" t="s">
        <v>1395</v>
      </c>
      <c r="G351" s="280" t="s">
        <v>77</v>
      </c>
      <c r="H351" s="279" t="s">
        <v>1491</v>
      </c>
      <c r="I351" s="279" t="s">
        <v>1901</v>
      </c>
      <c r="J351" s="781">
        <v>41.69</v>
      </c>
      <c r="K351" s="782"/>
    </row>
    <row r="352" spans="1:11" ht="21.95" customHeight="1" x14ac:dyDescent="0.2">
      <c r="A352" s="278" t="s">
        <v>1248</v>
      </c>
      <c r="B352" s="278"/>
      <c r="C352" s="279" t="s">
        <v>1902</v>
      </c>
      <c r="D352" s="278" t="s">
        <v>1250</v>
      </c>
      <c r="E352" s="278" t="s">
        <v>1903</v>
      </c>
      <c r="F352" s="278" t="s">
        <v>1395</v>
      </c>
      <c r="G352" s="280" t="s">
        <v>77</v>
      </c>
      <c r="H352" s="279" t="s">
        <v>1904</v>
      </c>
      <c r="I352" s="279" t="s">
        <v>1905</v>
      </c>
      <c r="J352" s="781">
        <v>537.54</v>
      </c>
      <c r="K352" s="782"/>
    </row>
    <row r="353" spans="1:11" ht="44.1" customHeight="1" x14ac:dyDescent="0.2">
      <c r="A353" s="278" t="s">
        <v>1248</v>
      </c>
      <c r="B353" s="278"/>
      <c r="C353" s="279" t="s">
        <v>1906</v>
      </c>
      <c r="D353" s="278" t="s">
        <v>1250</v>
      </c>
      <c r="E353" s="278" t="s">
        <v>1907</v>
      </c>
      <c r="F353" s="278" t="s">
        <v>1750</v>
      </c>
      <c r="G353" s="280" t="s">
        <v>52</v>
      </c>
      <c r="H353" s="279" t="s">
        <v>1359</v>
      </c>
      <c r="I353" s="279" t="s">
        <v>1908</v>
      </c>
      <c r="J353" s="781">
        <v>206.7</v>
      </c>
      <c r="K353" s="782"/>
    </row>
    <row r="354" spans="1:11" ht="33" customHeight="1" x14ac:dyDescent="0.2">
      <c r="A354" s="278" t="s">
        <v>1248</v>
      </c>
      <c r="B354" s="278"/>
      <c r="C354" s="279" t="s">
        <v>1909</v>
      </c>
      <c r="D354" s="278" t="s">
        <v>1250</v>
      </c>
      <c r="E354" s="278" t="s">
        <v>1910</v>
      </c>
      <c r="F354" s="278" t="s">
        <v>1550</v>
      </c>
      <c r="G354" s="280" t="s">
        <v>52</v>
      </c>
      <c r="H354" s="279" t="s">
        <v>1262</v>
      </c>
      <c r="I354" s="279" t="s">
        <v>1911</v>
      </c>
      <c r="J354" s="781">
        <v>170.06</v>
      </c>
      <c r="K354" s="782"/>
    </row>
    <row r="355" spans="1:11" ht="21.95" customHeight="1" x14ac:dyDescent="0.2">
      <c r="A355" s="278" t="s">
        <v>1248</v>
      </c>
      <c r="B355" s="278"/>
      <c r="C355" s="279" t="s">
        <v>1912</v>
      </c>
      <c r="D355" s="278" t="s">
        <v>1246</v>
      </c>
      <c r="E355" s="278" t="s">
        <v>1913</v>
      </c>
      <c r="F355" s="278" t="s">
        <v>1750</v>
      </c>
      <c r="G355" s="280" t="s">
        <v>52</v>
      </c>
      <c r="H355" s="279" t="s">
        <v>1294</v>
      </c>
      <c r="I355" s="279" t="s">
        <v>1914</v>
      </c>
      <c r="J355" s="781">
        <v>470.4</v>
      </c>
      <c r="K355" s="782"/>
    </row>
    <row r="356" spans="1:11" ht="21.95" customHeight="1" x14ac:dyDescent="0.2">
      <c r="A356" s="278" t="s">
        <v>1248</v>
      </c>
      <c r="B356" s="278"/>
      <c r="C356" s="279" t="s">
        <v>1915</v>
      </c>
      <c r="D356" s="278" t="s">
        <v>1246</v>
      </c>
      <c r="E356" s="278" t="s">
        <v>1916</v>
      </c>
      <c r="F356" s="278" t="s">
        <v>1550</v>
      </c>
      <c r="G356" s="280" t="s">
        <v>52</v>
      </c>
      <c r="H356" s="279" t="s">
        <v>1262</v>
      </c>
      <c r="I356" s="279" t="s">
        <v>1917</v>
      </c>
      <c r="J356" s="781">
        <v>38.35</v>
      </c>
      <c r="K356" s="782"/>
    </row>
    <row r="357" spans="1:11" ht="21.95" customHeight="1" thickBot="1" x14ac:dyDescent="0.25">
      <c r="A357" s="282" t="s">
        <v>1276</v>
      </c>
      <c r="B357" s="282"/>
      <c r="C357" s="283" t="s">
        <v>1918</v>
      </c>
      <c r="D357" s="282" t="s">
        <v>1246</v>
      </c>
      <c r="E357" s="282" t="s">
        <v>969</v>
      </c>
      <c r="F357" s="282" t="s">
        <v>1278</v>
      </c>
      <c r="G357" s="284" t="s">
        <v>52</v>
      </c>
      <c r="H357" s="283" t="s">
        <v>1262</v>
      </c>
      <c r="I357" s="283" t="s">
        <v>1919</v>
      </c>
      <c r="J357" s="770">
        <v>941</v>
      </c>
      <c r="K357" s="771"/>
    </row>
    <row r="358" spans="1:11" ht="0.95" customHeight="1" thickTop="1" x14ac:dyDescent="0.2">
      <c r="A358" s="281"/>
      <c r="B358" s="281"/>
      <c r="C358" s="281"/>
      <c r="D358" s="281"/>
      <c r="E358" s="281"/>
      <c r="F358" s="281"/>
      <c r="G358" s="281"/>
      <c r="H358" s="281"/>
      <c r="I358" s="281"/>
      <c r="J358" s="421"/>
      <c r="K358" s="421"/>
    </row>
    <row r="359" spans="1:11" ht="18" customHeight="1" x14ac:dyDescent="0.2">
      <c r="A359" s="272"/>
      <c r="B359" s="272" t="s">
        <v>54</v>
      </c>
      <c r="C359" s="273" t="s">
        <v>1239</v>
      </c>
      <c r="D359" s="272" t="s">
        <v>1240</v>
      </c>
      <c r="E359" s="272" t="s">
        <v>1241</v>
      </c>
      <c r="F359" s="272" t="s">
        <v>1242</v>
      </c>
      <c r="G359" s="274" t="s">
        <v>60</v>
      </c>
      <c r="H359" s="273" t="s">
        <v>58</v>
      </c>
      <c r="I359" s="273" t="s">
        <v>1243</v>
      </c>
      <c r="J359" s="775" t="s">
        <v>196</v>
      </c>
      <c r="K359" s="776"/>
    </row>
    <row r="360" spans="1:11" ht="21.95" customHeight="1" x14ac:dyDescent="0.2">
      <c r="A360" s="275" t="s">
        <v>1244</v>
      </c>
      <c r="B360" s="275" t="s">
        <v>4080</v>
      </c>
      <c r="C360" s="276" t="s">
        <v>1920</v>
      </c>
      <c r="D360" s="275" t="s">
        <v>1246</v>
      </c>
      <c r="E360" s="275" t="s">
        <v>596</v>
      </c>
      <c r="F360" s="275" t="s">
        <v>1550</v>
      </c>
      <c r="G360" s="277" t="s">
        <v>60</v>
      </c>
      <c r="H360" s="276">
        <v>1</v>
      </c>
      <c r="I360" s="276" t="s">
        <v>1921</v>
      </c>
      <c r="J360" s="777" t="s">
        <v>1921</v>
      </c>
      <c r="K360" s="778"/>
    </row>
    <row r="361" spans="1:11" ht="21.95" customHeight="1" x14ac:dyDescent="0.2">
      <c r="A361" s="278" t="s">
        <v>1248</v>
      </c>
      <c r="B361" s="278"/>
      <c r="C361" s="279" t="s">
        <v>1292</v>
      </c>
      <c r="D361" s="278" t="s">
        <v>1250</v>
      </c>
      <c r="E361" s="278" t="s">
        <v>1293</v>
      </c>
      <c r="F361" s="278" t="s">
        <v>1252</v>
      </c>
      <c r="G361" s="280" t="s">
        <v>1253</v>
      </c>
      <c r="H361" s="279" t="s">
        <v>1689</v>
      </c>
      <c r="I361" s="279" t="s">
        <v>1295</v>
      </c>
      <c r="J361" s="781">
        <v>8.74</v>
      </c>
      <c r="K361" s="782"/>
    </row>
    <row r="362" spans="1:11" ht="21.95" customHeight="1" x14ac:dyDescent="0.2">
      <c r="A362" s="278" t="s">
        <v>1248</v>
      </c>
      <c r="B362" s="278"/>
      <c r="C362" s="279" t="s">
        <v>1273</v>
      </c>
      <c r="D362" s="278" t="s">
        <v>1250</v>
      </c>
      <c r="E362" s="278" t="s">
        <v>1274</v>
      </c>
      <c r="F362" s="278" t="s">
        <v>1252</v>
      </c>
      <c r="G362" s="280" t="s">
        <v>1253</v>
      </c>
      <c r="H362" s="279" t="s">
        <v>1689</v>
      </c>
      <c r="I362" s="279" t="s">
        <v>1275</v>
      </c>
      <c r="J362" s="781">
        <v>6.94</v>
      </c>
      <c r="K362" s="782"/>
    </row>
    <row r="363" spans="1:11" ht="21.95" customHeight="1" thickBot="1" x14ac:dyDescent="0.25">
      <c r="A363" s="282" t="s">
        <v>1276</v>
      </c>
      <c r="B363" s="282"/>
      <c r="C363" s="283" t="s">
        <v>1922</v>
      </c>
      <c r="D363" s="282" t="s">
        <v>1250</v>
      </c>
      <c r="E363" s="282" t="s">
        <v>1923</v>
      </c>
      <c r="F363" s="282" t="s">
        <v>1278</v>
      </c>
      <c r="G363" s="284" t="s">
        <v>52</v>
      </c>
      <c r="H363" s="283" t="s">
        <v>1262</v>
      </c>
      <c r="I363" s="283" t="s">
        <v>1924</v>
      </c>
      <c r="J363" s="770">
        <v>18.89</v>
      </c>
      <c r="K363" s="771"/>
    </row>
    <row r="364" spans="1:11" ht="0.95" customHeight="1" thickTop="1" x14ac:dyDescent="0.2">
      <c r="A364" s="281"/>
      <c r="B364" s="281"/>
      <c r="C364" s="281"/>
      <c r="D364" s="281"/>
      <c r="E364" s="281"/>
      <c r="F364" s="281"/>
      <c r="G364" s="281"/>
      <c r="H364" s="281"/>
      <c r="I364" s="281"/>
      <c r="J364" s="421"/>
      <c r="K364" s="421"/>
    </row>
    <row r="365" spans="1:11" ht="18" customHeight="1" x14ac:dyDescent="0.2">
      <c r="A365" s="272"/>
      <c r="B365" s="272" t="s">
        <v>54</v>
      </c>
      <c r="C365" s="273" t="s">
        <v>1239</v>
      </c>
      <c r="D365" s="272" t="s">
        <v>1240</v>
      </c>
      <c r="E365" s="272" t="s">
        <v>1241</v>
      </c>
      <c r="F365" s="272" t="s">
        <v>1242</v>
      </c>
      <c r="G365" s="274" t="s">
        <v>60</v>
      </c>
      <c r="H365" s="273" t="s">
        <v>58</v>
      </c>
      <c r="I365" s="273" t="s">
        <v>1243</v>
      </c>
      <c r="J365" s="775" t="s">
        <v>196</v>
      </c>
      <c r="K365" s="776"/>
    </row>
    <row r="366" spans="1:11" ht="21.95" customHeight="1" x14ac:dyDescent="0.2">
      <c r="A366" s="275" t="s">
        <v>1244</v>
      </c>
      <c r="B366" s="275" t="s">
        <v>4081</v>
      </c>
      <c r="C366" s="276" t="s">
        <v>1925</v>
      </c>
      <c r="D366" s="275" t="s">
        <v>1246</v>
      </c>
      <c r="E366" s="275" t="s">
        <v>598</v>
      </c>
      <c r="F366" s="275" t="s">
        <v>1874</v>
      </c>
      <c r="G366" s="277" t="s">
        <v>52</v>
      </c>
      <c r="H366" s="276">
        <v>1</v>
      </c>
      <c r="I366" s="276" t="s">
        <v>1926</v>
      </c>
      <c r="J366" s="777" t="s">
        <v>1926</v>
      </c>
      <c r="K366" s="778"/>
    </row>
    <row r="367" spans="1:11" ht="21.95" customHeight="1" x14ac:dyDescent="0.2">
      <c r="A367" s="278" t="s">
        <v>1248</v>
      </c>
      <c r="B367" s="278"/>
      <c r="C367" s="279" t="s">
        <v>1292</v>
      </c>
      <c r="D367" s="278" t="s">
        <v>1250</v>
      </c>
      <c r="E367" s="278" t="s">
        <v>1293</v>
      </c>
      <c r="F367" s="278" t="s">
        <v>1252</v>
      </c>
      <c r="G367" s="280" t="s">
        <v>1253</v>
      </c>
      <c r="H367" s="279" t="s">
        <v>1927</v>
      </c>
      <c r="I367" s="279" t="s">
        <v>1295</v>
      </c>
      <c r="J367" s="781">
        <v>9.44</v>
      </c>
      <c r="K367" s="782"/>
    </row>
    <row r="368" spans="1:11" ht="21.95" customHeight="1" x14ac:dyDescent="0.2">
      <c r="A368" s="278" t="s">
        <v>1248</v>
      </c>
      <c r="B368" s="278"/>
      <c r="C368" s="279" t="s">
        <v>1273</v>
      </c>
      <c r="D368" s="278" t="s">
        <v>1250</v>
      </c>
      <c r="E368" s="278" t="s">
        <v>1274</v>
      </c>
      <c r="F368" s="278" t="s">
        <v>1252</v>
      </c>
      <c r="G368" s="280" t="s">
        <v>1253</v>
      </c>
      <c r="H368" s="279" t="s">
        <v>1927</v>
      </c>
      <c r="I368" s="279" t="s">
        <v>1275</v>
      </c>
      <c r="J368" s="781">
        <v>7.5</v>
      </c>
      <c r="K368" s="782"/>
    </row>
    <row r="369" spans="1:11" ht="21.95" customHeight="1" x14ac:dyDescent="0.2">
      <c r="A369" s="282" t="s">
        <v>1276</v>
      </c>
      <c r="B369" s="282"/>
      <c r="C369" s="283" t="s">
        <v>1928</v>
      </c>
      <c r="D369" s="282" t="s">
        <v>1250</v>
      </c>
      <c r="E369" s="282" t="s">
        <v>1929</v>
      </c>
      <c r="F369" s="282" t="s">
        <v>1278</v>
      </c>
      <c r="G369" s="284" t="s">
        <v>52</v>
      </c>
      <c r="H369" s="283" t="s">
        <v>1930</v>
      </c>
      <c r="I369" s="283" t="s">
        <v>1931</v>
      </c>
      <c r="J369" s="779">
        <v>0.15</v>
      </c>
      <c r="K369" s="780"/>
    </row>
    <row r="370" spans="1:11" ht="21.95" customHeight="1" thickBot="1" x14ac:dyDescent="0.25">
      <c r="A370" s="282" t="s">
        <v>1276</v>
      </c>
      <c r="B370" s="282"/>
      <c r="C370" s="283" t="s">
        <v>1932</v>
      </c>
      <c r="D370" s="282" t="s">
        <v>1250</v>
      </c>
      <c r="E370" s="282" t="s">
        <v>1933</v>
      </c>
      <c r="F370" s="282" t="s">
        <v>1278</v>
      </c>
      <c r="G370" s="284" t="s">
        <v>52</v>
      </c>
      <c r="H370" s="283" t="s">
        <v>1262</v>
      </c>
      <c r="I370" s="283" t="s">
        <v>1934</v>
      </c>
      <c r="J370" s="770">
        <v>26.6</v>
      </c>
      <c r="K370" s="771"/>
    </row>
    <row r="371" spans="1:11" ht="0.95" customHeight="1" thickTop="1" x14ac:dyDescent="0.2">
      <c r="A371" s="281"/>
      <c r="B371" s="281"/>
      <c r="C371" s="281"/>
      <c r="D371" s="281"/>
      <c r="E371" s="281"/>
      <c r="F371" s="281"/>
      <c r="G371" s="281"/>
      <c r="H371" s="281"/>
      <c r="I371" s="281"/>
      <c r="J371" s="421"/>
      <c r="K371" s="421"/>
    </row>
    <row r="372" spans="1:11" ht="18" customHeight="1" x14ac:dyDescent="0.2">
      <c r="A372" s="272"/>
      <c r="B372" s="272" t="s">
        <v>54</v>
      </c>
      <c r="C372" s="273" t="s">
        <v>1239</v>
      </c>
      <c r="D372" s="272" t="s">
        <v>1240</v>
      </c>
      <c r="E372" s="272" t="s">
        <v>1241</v>
      </c>
      <c r="F372" s="272" t="s">
        <v>1242</v>
      </c>
      <c r="G372" s="274" t="s">
        <v>60</v>
      </c>
      <c r="H372" s="273" t="s">
        <v>58</v>
      </c>
      <c r="I372" s="273" t="s">
        <v>1243</v>
      </c>
      <c r="J372" s="775" t="s">
        <v>196</v>
      </c>
      <c r="K372" s="776"/>
    </row>
    <row r="373" spans="1:11" ht="21.95" customHeight="1" x14ac:dyDescent="0.2">
      <c r="A373" s="275" t="s">
        <v>1244</v>
      </c>
      <c r="B373" s="275" t="s">
        <v>4082</v>
      </c>
      <c r="C373" s="276" t="s">
        <v>1639</v>
      </c>
      <c r="D373" s="275" t="s">
        <v>1246</v>
      </c>
      <c r="E373" s="275" t="s">
        <v>419</v>
      </c>
      <c r="F373" s="275" t="s">
        <v>1485</v>
      </c>
      <c r="G373" s="277" t="s">
        <v>77</v>
      </c>
      <c r="H373" s="276">
        <v>1</v>
      </c>
      <c r="I373" s="276" t="s">
        <v>1640</v>
      </c>
      <c r="J373" s="777" t="s">
        <v>1640</v>
      </c>
      <c r="K373" s="778"/>
    </row>
    <row r="374" spans="1:11" ht="21.95" customHeight="1" x14ac:dyDescent="0.2">
      <c r="A374" s="278" t="s">
        <v>1248</v>
      </c>
      <c r="B374" s="278"/>
      <c r="C374" s="279" t="s">
        <v>1273</v>
      </c>
      <c r="D374" s="278" t="s">
        <v>1250</v>
      </c>
      <c r="E374" s="278" t="s">
        <v>1274</v>
      </c>
      <c r="F374" s="278" t="s">
        <v>1252</v>
      </c>
      <c r="G374" s="280" t="s">
        <v>1253</v>
      </c>
      <c r="H374" s="279" t="s">
        <v>1641</v>
      </c>
      <c r="I374" s="279" t="s">
        <v>1275</v>
      </c>
      <c r="J374" s="781">
        <v>1.33</v>
      </c>
      <c r="K374" s="782"/>
    </row>
    <row r="375" spans="1:11" ht="21.95" customHeight="1" x14ac:dyDescent="0.2">
      <c r="A375" s="278" t="s">
        <v>1248</v>
      </c>
      <c r="B375" s="278"/>
      <c r="C375" s="279" t="s">
        <v>1337</v>
      </c>
      <c r="D375" s="278" t="s">
        <v>1250</v>
      </c>
      <c r="E375" s="278" t="s">
        <v>1338</v>
      </c>
      <c r="F375" s="278" t="s">
        <v>1252</v>
      </c>
      <c r="G375" s="280" t="s">
        <v>1253</v>
      </c>
      <c r="H375" s="279" t="s">
        <v>1642</v>
      </c>
      <c r="I375" s="279" t="s">
        <v>1340</v>
      </c>
      <c r="J375" s="781">
        <v>1.39</v>
      </c>
      <c r="K375" s="782"/>
    </row>
    <row r="376" spans="1:11" ht="33" customHeight="1" x14ac:dyDescent="0.2">
      <c r="A376" s="278" t="s">
        <v>1248</v>
      </c>
      <c r="B376" s="278"/>
      <c r="C376" s="279" t="s">
        <v>1643</v>
      </c>
      <c r="D376" s="278" t="s">
        <v>1250</v>
      </c>
      <c r="E376" s="278" t="s">
        <v>1644</v>
      </c>
      <c r="F376" s="278" t="s">
        <v>1481</v>
      </c>
      <c r="G376" s="280" t="s">
        <v>1482</v>
      </c>
      <c r="H376" s="279" t="s">
        <v>1645</v>
      </c>
      <c r="I376" s="279" t="s">
        <v>1646</v>
      </c>
      <c r="J376" s="781">
        <v>0.19</v>
      </c>
      <c r="K376" s="782"/>
    </row>
    <row r="377" spans="1:11" ht="33" customHeight="1" x14ac:dyDescent="0.2">
      <c r="A377" s="278" t="s">
        <v>1248</v>
      </c>
      <c r="B377" s="278"/>
      <c r="C377" s="279" t="s">
        <v>1647</v>
      </c>
      <c r="D377" s="278" t="s">
        <v>1250</v>
      </c>
      <c r="E377" s="278" t="s">
        <v>1648</v>
      </c>
      <c r="F377" s="278" t="s">
        <v>1481</v>
      </c>
      <c r="G377" s="280" t="s">
        <v>1649</v>
      </c>
      <c r="H377" s="279" t="s">
        <v>1650</v>
      </c>
      <c r="I377" s="279" t="s">
        <v>1651</v>
      </c>
      <c r="J377" s="781">
        <v>7.0000000000000007E-2</v>
      </c>
      <c r="K377" s="782"/>
    </row>
    <row r="378" spans="1:11" ht="21.95" customHeight="1" x14ac:dyDescent="0.2">
      <c r="A378" s="282" t="s">
        <v>1276</v>
      </c>
      <c r="B378" s="282"/>
      <c r="C378" s="283" t="s">
        <v>1652</v>
      </c>
      <c r="D378" s="282" t="s">
        <v>1250</v>
      </c>
      <c r="E378" s="282" t="s">
        <v>1653</v>
      </c>
      <c r="F378" s="282" t="s">
        <v>1278</v>
      </c>
      <c r="G378" s="284" t="s">
        <v>77</v>
      </c>
      <c r="H378" s="283" t="s">
        <v>1532</v>
      </c>
      <c r="I378" s="283" t="s">
        <v>1654</v>
      </c>
      <c r="J378" s="779">
        <v>31.27</v>
      </c>
      <c r="K378" s="780"/>
    </row>
    <row r="379" spans="1:11" ht="33" customHeight="1" thickBot="1" x14ac:dyDescent="0.25">
      <c r="A379" s="282" t="s">
        <v>1276</v>
      </c>
      <c r="B379" s="282"/>
      <c r="C379" s="283" t="s">
        <v>1655</v>
      </c>
      <c r="D379" s="282" t="s">
        <v>1250</v>
      </c>
      <c r="E379" s="282" t="s">
        <v>1656</v>
      </c>
      <c r="F379" s="282" t="s">
        <v>1278</v>
      </c>
      <c r="G379" s="284" t="s">
        <v>152</v>
      </c>
      <c r="H379" s="283" t="s">
        <v>1657</v>
      </c>
      <c r="I379" s="283" t="s">
        <v>1658</v>
      </c>
      <c r="J379" s="770">
        <v>4.3099999999999996</v>
      </c>
      <c r="K379" s="771"/>
    </row>
    <row r="380" spans="1:11" ht="0.95" customHeight="1" thickTop="1" x14ac:dyDescent="0.2">
      <c r="A380" s="281"/>
      <c r="B380" s="281"/>
      <c r="C380" s="281"/>
      <c r="D380" s="281"/>
      <c r="E380" s="281"/>
      <c r="F380" s="281"/>
      <c r="G380" s="281"/>
      <c r="H380" s="281"/>
      <c r="I380" s="281"/>
      <c r="J380" s="421"/>
      <c r="K380" s="421"/>
    </row>
    <row r="381" spans="1:11" ht="18" customHeight="1" x14ac:dyDescent="0.2">
      <c r="A381" s="272"/>
      <c r="B381" s="272" t="s">
        <v>54</v>
      </c>
      <c r="C381" s="273" t="s">
        <v>1239</v>
      </c>
      <c r="D381" s="272" t="s">
        <v>1240</v>
      </c>
      <c r="E381" s="272" t="s">
        <v>1241</v>
      </c>
      <c r="F381" s="272" t="s">
        <v>1242</v>
      </c>
      <c r="G381" s="274" t="s">
        <v>60</v>
      </c>
      <c r="H381" s="273" t="s">
        <v>58</v>
      </c>
      <c r="I381" s="273" t="s">
        <v>1243</v>
      </c>
      <c r="J381" s="775" t="s">
        <v>196</v>
      </c>
      <c r="K381" s="776"/>
    </row>
    <row r="382" spans="1:11" ht="44.1" customHeight="1" x14ac:dyDescent="0.2">
      <c r="A382" s="275" t="s">
        <v>1244</v>
      </c>
      <c r="B382" s="275" t="s">
        <v>4083</v>
      </c>
      <c r="C382" s="276" t="s">
        <v>1502</v>
      </c>
      <c r="D382" s="275" t="s">
        <v>1246</v>
      </c>
      <c r="E382" s="275" t="s">
        <v>337</v>
      </c>
      <c r="F382" s="275" t="s">
        <v>1353</v>
      </c>
      <c r="G382" s="277" t="s">
        <v>52</v>
      </c>
      <c r="H382" s="276">
        <v>1</v>
      </c>
      <c r="I382" s="276" t="s">
        <v>1503</v>
      </c>
      <c r="J382" s="777" t="s">
        <v>1503</v>
      </c>
      <c r="K382" s="778"/>
    </row>
    <row r="383" spans="1:11" ht="21.95" customHeight="1" x14ac:dyDescent="0.2">
      <c r="A383" s="278" t="s">
        <v>1248</v>
      </c>
      <c r="B383" s="278"/>
      <c r="C383" s="279" t="s">
        <v>1269</v>
      </c>
      <c r="D383" s="278" t="s">
        <v>1250</v>
      </c>
      <c r="E383" s="278" t="s">
        <v>1270</v>
      </c>
      <c r="F383" s="278" t="s">
        <v>1252</v>
      </c>
      <c r="G383" s="280" t="s">
        <v>1253</v>
      </c>
      <c r="H383" s="279" t="s">
        <v>1504</v>
      </c>
      <c r="I383" s="279" t="s">
        <v>1272</v>
      </c>
      <c r="J383" s="781">
        <v>59.13</v>
      </c>
      <c r="K383" s="782"/>
    </row>
    <row r="384" spans="1:11" ht="21.95" customHeight="1" x14ac:dyDescent="0.2">
      <c r="A384" s="278" t="s">
        <v>1248</v>
      </c>
      <c r="B384" s="278"/>
      <c r="C384" s="279" t="s">
        <v>1273</v>
      </c>
      <c r="D384" s="278" t="s">
        <v>1250</v>
      </c>
      <c r="E384" s="278" t="s">
        <v>1274</v>
      </c>
      <c r="F384" s="278" t="s">
        <v>1252</v>
      </c>
      <c r="G384" s="280" t="s">
        <v>1253</v>
      </c>
      <c r="H384" s="279" t="s">
        <v>1505</v>
      </c>
      <c r="I384" s="279" t="s">
        <v>1275</v>
      </c>
      <c r="J384" s="781">
        <v>24.02</v>
      </c>
      <c r="K384" s="782"/>
    </row>
    <row r="385" spans="1:11" ht="21.95" customHeight="1" x14ac:dyDescent="0.2">
      <c r="A385" s="278" t="s">
        <v>1248</v>
      </c>
      <c r="B385" s="278"/>
      <c r="C385" s="279" t="s">
        <v>1492</v>
      </c>
      <c r="D385" s="278" t="s">
        <v>1250</v>
      </c>
      <c r="E385" s="278" t="s">
        <v>1493</v>
      </c>
      <c r="F385" s="278" t="s">
        <v>1252</v>
      </c>
      <c r="G385" s="280" t="s">
        <v>153</v>
      </c>
      <c r="H385" s="279" t="s">
        <v>1347</v>
      </c>
      <c r="I385" s="279" t="s">
        <v>1495</v>
      </c>
      <c r="J385" s="781">
        <v>15.77</v>
      </c>
      <c r="K385" s="782"/>
    </row>
    <row r="386" spans="1:11" ht="21.95" customHeight="1" thickBot="1" x14ac:dyDescent="0.25">
      <c r="A386" s="282" t="s">
        <v>1276</v>
      </c>
      <c r="B386" s="282"/>
      <c r="C386" s="283" t="s">
        <v>1506</v>
      </c>
      <c r="D386" s="282" t="s">
        <v>1246</v>
      </c>
      <c r="E386" s="282" t="s">
        <v>769</v>
      </c>
      <c r="F386" s="282" t="s">
        <v>1278</v>
      </c>
      <c r="G386" s="284" t="s">
        <v>52</v>
      </c>
      <c r="H386" s="283" t="s">
        <v>1262</v>
      </c>
      <c r="I386" s="283" t="s">
        <v>1507</v>
      </c>
      <c r="J386" s="770">
        <v>1100</v>
      </c>
      <c r="K386" s="771"/>
    </row>
    <row r="387" spans="1:11" ht="0.95" customHeight="1" thickTop="1" x14ac:dyDescent="0.2">
      <c r="A387" s="281"/>
      <c r="B387" s="281"/>
      <c r="C387" s="281"/>
      <c r="D387" s="281"/>
      <c r="E387" s="281"/>
      <c r="F387" s="281"/>
      <c r="G387" s="281"/>
      <c r="H387" s="281"/>
      <c r="I387" s="281"/>
      <c r="J387" s="421"/>
      <c r="K387" s="421"/>
    </row>
    <row r="388" spans="1:11" ht="18" customHeight="1" x14ac:dyDescent="0.2">
      <c r="A388" s="272"/>
      <c r="B388" s="272" t="s">
        <v>54</v>
      </c>
      <c r="C388" s="273" t="s">
        <v>1239</v>
      </c>
      <c r="D388" s="272" t="s">
        <v>1240</v>
      </c>
      <c r="E388" s="272" t="s">
        <v>1241</v>
      </c>
      <c r="F388" s="272" t="s">
        <v>1242</v>
      </c>
      <c r="G388" s="274" t="s">
        <v>60</v>
      </c>
      <c r="H388" s="273" t="s">
        <v>58</v>
      </c>
      <c r="I388" s="273" t="s">
        <v>1243</v>
      </c>
      <c r="J388" s="775" t="s">
        <v>196</v>
      </c>
      <c r="K388" s="776"/>
    </row>
    <row r="389" spans="1:11" ht="44.1" customHeight="1" x14ac:dyDescent="0.2">
      <c r="A389" s="275" t="s">
        <v>1244</v>
      </c>
      <c r="B389" s="275" t="s">
        <v>4084</v>
      </c>
      <c r="C389" s="276" t="s">
        <v>1508</v>
      </c>
      <c r="D389" s="275" t="s">
        <v>1246</v>
      </c>
      <c r="E389" s="275" t="s">
        <v>505</v>
      </c>
      <c r="F389" s="275" t="s">
        <v>1353</v>
      </c>
      <c r="G389" s="277" t="s">
        <v>52</v>
      </c>
      <c r="H389" s="276">
        <v>1</v>
      </c>
      <c r="I389" s="276" t="s">
        <v>1509</v>
      </c>
      <c r="J389" s="777" t="s">
        <v>1509</v>
      </c>
      <c r="K389" s="778"/>
    </row>
    <row r="390" spans="1:11" ht="21.95" customHeight="1" x14ac:dyDescent="0.2">
      <c r="A390" s="278" t="s">
        <v>1248</v>
      </c>
      <c r="B390" s="278"/>
      <c r="C390" s="279" t="s">
        <v>1269</v>
      </c>
      <c r="D390" s="278" t="s">
        <v>1250</v>
      </c>
      <c r="E390" s="278" t="s">
        <v>1270</v>
      </c>
      <c r="F390" s="278" t="s">
        <v>1252</v>
      </c>
      <c r="G390" s="280" t="s">
        <v>1253</v>
      </c>
      <c r="H390" s="279" t="s">
        <v>1510</v>
      </c>
      <c r="I390" s="279" t="s">
        <v>1272</v>
      </c>
      <c r="J390" s="781">
        <v>57.42</v>
      </c>
      <c r="K390" s="782"/>
    </row>
    <row r="391" spans="1:11" ht="21.95" customHeight="1" x14ac:dyDescent="0.2">
      <c r="A391" s="278" t="s">
        <v>1248</v>
      </c>
      <c r="B391" s="278"/>
      <c r="C391" s="279" t="s">
        <v>1273</v>
      </c>
      <c r="D391" s="278" t="s">
        <v>1250</v>
      </c>
      <c r="E391" s="278" t="s">
        <v>1274</v>
      </c>
      <c r="F391" s="278" t="s">
        <v>1252</v>
      </c>
      <c r="G391" s="280" t="s">
        <v>1253</v>
      </c>
      <c r="H391" s="279" t="s">
        <v>1510</v>
      </c>
      <c r="I391" s="279" t="s">
        <v>1275</v>
      </c>
      <c r="J391" s="781">
        <v>46.67</v>
      </c>
      <c r="K391" s="782"/>
    </row>
    <row r="392" spans="1:11" ht="21.95" customHeight="1" x14ac:dyDescent="0.2">
      <c r="A392" s="278" t="s">
        <v>1248</v>
      </c>
      <c r="B392" s="278"/>
      <c r="C392" s="279" t="s">
        <v>1492</v>
      </c>
      <c r="D392" s="278" t="s">
        <v>1250</v>
      </c>
      <c r="E392" s="278" t="s">
        <v>1493</v>
      </c>
      <c r="F392" s="278" t="s">
        <v>1252</v>
      </c>
      <c r="G392" s="280" t="s">
        <v>153</v>
      </c>
      <c r="H392" s="279" t="s">
        <v>1369</v>
      </c>
      <c r="I392" s="279" t="s">
        <v>1495</v>
      </c>
      <c r="J392" s="781">
        <v>31.54</v>
      </c>
      <c r="K392" s="782"/>
    </row>
    <row r="393" spans="1:11" ht="21.95" customHeight="1" thickBot="1" x14ac:dyDescent="0.25">
      <c r="A393" s="282" t="s">
        <v>1276</v>
      </c>
      <c r="B393" s="282"/>
      <c r="C393" s="283" t="s">
        <v>1511</v>
      </c>
      <c r="D393" s="282" t="s">
        <v>1246</v>
      </c>
      <c r="E393" s="282" t="s">
        <v>779</v>
      </c>
      <c r="F393" s="282" t="s">
        <v>1278</v>
      </c>
      <c r="G393" s="284" t="s">
        <v>52</v>
      </c>
      <c r="H393" s="283" t="s">
        <v>1262</v>
      </c>
      <c r="I393" s="283" t="s">
        <v>1512</v>
      </c>
      <c r="J393" s="770">
        <v>990</v>
      </c>
      <c r="K393" s="771"/>
    </row>
    <row r="394" spans="1:11" ht="0.95" customHeight="1" thickTop="1" x14ac:dyDescent="0.2">
      <c r="A394" s="281"/>
      <c r="B394" s="281"/>
      <c r="C394" s="281"/>
      <c r="D394" s="281"/>
      <c r="E394" s="281"/>
      <c r="F394" s="281"/>
      <c r="G394" s="281"/>
      <c r="H394" s="281"/>
      <c r="I394" s="281"/>
      <c r="J394" s="421"/>
      <c r="K394" s="421"/>
    </row>
    <row r="395" spans="1:11" ht="18" customHeight="1" x14ac:dyDescent="0.2">
      <c r="A395" s="272"/>
      <c r="B395" s="272" t="s">
        <v>54</v>
      </c>
      <c r="C395" s="273" t="s">
        <v>1239</v>
      </c>
      <c r="D395" s="272" t="s">
        <v>1240</v>
      </c>
      <c r="E395" s="272" t="s">
        <v>1241</v>
      </c>
      <c r="F395" s="272" t="s">
        <v>1242</v>
      </c>
      <c r="G395" s="274" t="s">
        <v>60</v>
      </c>
      <c r="H395" s="273" t="s">
        <v>58</v>
      </c>
      <c r="I395" s="273" t="s">
        <v>1243</v>
      </c>
      <c r="J395" s="775" t="s">
        <v>196</v>
      </c>
      <c r="K395" s="776"/>
    </row>
    <row r="396" spans="1:11" ht="44.1" customHeight="1" x14ac:dyDescent="0.2">
      <c r="A396" s="275" t="s">
        <v>1244</v>
      </c>
      <c r="B396" s="275" t="s">
        <v>4085</v>
      </c>
      <c r="C396" s="276" t="s">
        <v>1796</v>
      </c>
      <c r="D396" s="275" t="s">
        <v>1246</v>
      </c>
      <c r="E396" s="275" t="s">
        <v>563</v>
      </c>
      <c r="F396" s="275" t="s">
        <v>1353</v>
      </c>
      <c r="G396" s="277" t="s">
        <v>52</v>
      </c>
      <c r="H396" s="276">
        <v>1</v>
      </c>
      <c r="I396" s="276" t="s">
        <v>1797</v>
      </c>
      <c r="J396" s="777" t="s">
        <v>1797</v>
      </c>
      <c r="K396" s="778"/>
    </row>
    <row r="397" spans="1:11" ht="21.95" customHeight="1" x14ac:dyDescent="0.2">
      <c r="A397" s="278" t="s">
        <v>1248</v>
      </c>
      <c r="B397" s="278"/>
      <c r="C397" s="279" t="s">
        <v>1269</v>
      </c>
      <c r="D397" s="278" t="s">
        <v>1250</v>
      </c>
      <c r="E397" s="278" t="s">
        <v>1270</v>
      </c>
      <c r="F397" s="278" t="s">
        <v>1252</v>
      </c>
      <c r="G397" s="280" t="s">
        <v>1253</v>
      </c>
      <c r="H397" s="279" t="s">
        <v>1798</v>
      </c>
      <c r="I397" s="279" t="s">
        <v>1272</v>
      </c>
      <c r="J397" s="781">
        <v>55.57</v>
      </c>
      <c r="K397" s="782"/>
    </row>
    <row r="398" spans="1:11" ht="21.95" customHeight="1" x14ac:dyDescent="0.2">
      <c r="A398" s="278" t="s">
        <v>1248</v>
      </c>
      <c r="B398" s="278"/>
      <c r="C398" s="279" t="s">
        <v>1273</v>
      </c>
      <c r="D398" s="278" t="s">
        <v>1250</v>
      </c>
      <c r="E398" s="278" t="s">
        <v>1274</v>
      </c>
      <c r="F398" s="278" t="s">
        <v>1252</v>
      </c>
      <c r="G398" s="280" t="s">
        <v>1253</v>
      </c>
      <c r="H398" s="279" t="s">
        <v>1799</v>
      </c>
      <c r="I398" s="279" t="s">
        <v>1275</v>
      </c>
      <c r="J398" s="781">
        <v>22.58</v>
      </c>
      <c r="K398" s="782"/>
    </row>
    <row r="399" spans="1:11" ht="21.95" customHeight="1" x14ac:dyDescent="0.2">
      <c r="A399" s="278" t="s">
        <v>1248</v>
      </c>
      <c r="B399" s="278"/>
      <c r="C399" s="279" t="s">
        <v>1492</v>
      </c>
      <c r="D399" s="278" t="s">
        <v>1250</v>
      </c>
      <c r="E399" s="278" t="s">
        <v>1493</v>
      </c>
      <c r="F399" s="278" t="s">
        <v>1252</v>
      </c>
      <c r="G399" s="280" t="s">
        <v>153</v>
      </c>
      <c r="H399" s="279" t="s">
        <v>1800</v>
      </c>
      <c r="I399" s="279" t="s">
        <v>1495</v>
      </c>
      <c r="J399" s="781">
        <v>10.64</v>
      </c>
      <c r="K399" s="782"/>
    </row>
    <row r="400" spans="1:11" ht="33" customHeight="1" x14ac:dyDescent="0.2">
      <c r="A400" s="278" t="s">
        <v>1248</v>
      </c>
      <c r="B400" s="278"/>
      <c r="C400" s="279" t="s">
        <v>1801</v>
      </c>
      <c r="D400" s="278" t="s">
        <v>1250</v>
      </c>
      <c r="E400" s="278" t="s">
        <v>1802</v>
      </c>
      <c r="F400" s="278" t="s">
        <v>1348</v>
      </c>
      <c r="G400" s="280" t="s">
        <v>77</v>
      </c>
      <c r="H400" s="279" t="s">
        <v>1382</v>
      </c>
      <c r="I400" s="279" t="s">
        <v>1803</v>
      </c>
      <c r="J400" s="781">
        <v>124.39</v>
      </c>
      <c r="K400" s="782"/>
    </row>
    <row r="401" spans="1:11" ht="21.95" customHeight="1" thickBot="1" x14ac:dyDescent="0.25">
      <c r="A401" s="282" t="s">
        <v>1276</v>
      </c>
      <c r="B401" s="282"/>
      <c r="C401" s="283" t="s">
        <v>1804</v>
      </c>
      <c r="D401" s="282" t="s">
        <v>1246</v>
      </c>
      <c r="E401" s="282" t="s">
        <v>758</v>
      </c>
      <c r="F401" s="282" t="s">
        <v>1278</v>
      </c>
      <c r="G401" s="284" t="s">
        <v>52</v>
      </c>
      <c r="H401" s="283" t="s">
        <v>1262</v>
      </c>
      <c r="I401" s="283" t="s">
        <v>1805</v>
      </c>
      <c r="J401" s="770">
        <v>2310</v>
      </c>
      <c r="K401" s="771"/>
    </row>
    <row r="402" spans="1:11" ht="0.95" customHeight="1" thickTop="1" x14ac:dyDescent="0.2">
      <c r="A402" s="281"/>
      <c r="B402" s="281"/>
      <c r="C402" s="281"/>
      <c r="D402" s="281"/>
      <c r="E402" s="281"/>
      <c r="F402" s="281"/>
      <c r="G402" s="281"/>
      <c r="H402" s="281"/>
      <c r="I402" s="281"/>
      <c r="J402" s="421"/>
      <c r="K402" s="421"/>
    </row>
    <row r="403" spans="1:11" ht="18" customHeight="1" x14ac:dyDescent="0.2">
      <c r="A403" s="272"/>
      <c r="B403" s="272" t="s">
        <v>54</v>
      </c>
      <c r="C403" s="273" t="s">
        <v>1239</v>
      </c>
      <c r="D403" s="272" t="s">
        <v>1240</v>
      </c>
      <c r="E403" s="272" t="s">
        <v>1241</v>
      </c>
      <c r="F403" s="272" t="s">
        <v>1242</v>
      </c>
      <c r="G403" s="274" t="s">
        <v>60</v>
      </c>
      <c r="H403" s="273" t="s">
        <v>58</v>
      </c>
      <c r="I403" s="273" t="s">
        <v>1243</v>
      </c>
      <c r="J403" s="775" t="s">
        <v>196</v>
      </c>
      <c r="K403" s="776"/>
    </row>
    <row r="404" spans="1:11" ht="33" customHeight="1" x14ac:dyDescent="0.2">
      <c r="A404" s="275" t="s">
        <v>1244</v>
      </c>
      <c r="B404" s="275" t="s">
        <v>4086</v>
      </c>
      <c r="C404" s="276" t="s">
        <v>1539</v>
      </c>
      <c r="D404" s="275" t="s">
        <v>1246</v>
      </c>
      <c r="E404" s="275" t="s">
        <v>512</v>
      </c>
      <c r="F404" s="275" t="s">
        <v>1351</v>
      </c>
      <c r="G404" s="277" t="s">
        <v>77</v>
      </c>
      <c r="H404" s="276">
        <v>1</v>
      </c>
      <c r="I404" s="276" t="s">
        <v>1540</v>
      </c>
      <c r="J404" s="777" t="s">
        <v>1540</v>
      </c>
      <c r="K404" s="778"/>
    </row>
    <row r="405" spans="1:11" ht="21.95" customHeight="1" x14ac:dyDescent="0.2">
      <c r="A405" s="278" t="s">
        <v>1248</v>
      </c>
      <c r="B405" s="278"/>
      <c r="C405" s="279" t="s">
        <v>1525</v>
      </c>
      <c r="D405" s="278" t="s">
        <v>1250</v>
      </c>
      <c r="E405" s="278" t="s">
        <v>1526</v>
      </c>
      <c r="F405" s="278" t="s">
        <v>1252</v>
      </c>
      <c r="G405" s="280" t="s">
        <v>1253</v>
      </c>
      <c r="H405" s="279" t="s">
        <v>1527</v>
      </c>
      <c r="I405" s="279" t="s">
        <v>1528</v>
      </c>
      <c r="J405" s="781">
        <v>20.51</v>
      </c>
      <c r="K405" s="782"/>
    </row>
    <row r="406" spans="1:11" ht="21.95" customHeight="1" x14ac:dyDescent="0.2">
      <c r="A406" s="278" t="s">
        <v>1248</v>
      </c>
      <c r="B406" s="278"/>
      <c r="C406" s="279" t="s">
        <v>1273</v>
      </c>
      <c r="D406" s="278" t="s">
        <v>1250</v>
      </c>
      <c r="E406" s="278" t="s">
        <v>1274</v>
      </c>
      <c r="F406" s="278" t="s">
        <v>1252</v>
      </c>
      <c r="G406" s="280" t="s">
        <v>1253</v>
      </c>
      <c r="H406" s="279" t="s">
        <v>1529</v>
      </c>
      <c r="I406" s="279" t="s">
        <v>1275</v>
      </c>
      <c r="J406" s="781">
        <v>9.02</v>
      </c>
      <c r="K406" s="782"/>
    </row>
    <row r="407" spans="1:11" ht="21.95" customHeight="1" x14ac:dyDescent="0.2">
      <c r="A407" s="282" t="s">
        <v>1276</v>
      </c>
      <c r="B407" s="282"/>
      <c r="C407" s="283" t="s">
        <v>1530</v>
      </c>
      <c r="D407" s="282" t="s">
        <v>1250</v>
      </c>
      <c r="E407" s="282" t="s">
        <v>1531</v>
      </c>
      <c r="F407" s="282" t="s">
        <v>1278</v>
      </c>
      <c r="G407" s="284" t="s">
        <v>77</v>
      </c>
      <c r="H407" s="283" t="s">
        <v>1532</v>
      </c>
      <c r="I407" s="283" t="s">
        <v>1533</v>
      </c>
      <c r="J407" s="779">
        <v>111.46</v>
      </c>
      <c r="K407" s="780"/>
    </row>
    <row r="408" spans="1:11" ht="21.95" customHeight="1" thickBot="1" x14ac:dyDescent="0.25">
      <c r="A408" s="282" t="s">
        <v>1276</v>
      </c>
      <c r="B408" s="282"/>
      <c r="C408" s="283" t="s">
        <v>1534</v>
      </c>
      <c r="D408" s="282" t="s">
        <v>1250</v>
      </c>
      <c r="E408" s="282" t="s">
        <v>1535</v>
      </c>
      <c r="F408" s="282" t="s">
        <v>1278</v>
      </c>
      <c r="G408" s="284" t="s">
        <v>71</v>
      </c>
      <c r="H408" s="283" t="s">
        <v>1536</v>
      </c>
      <c r="I408" s="283" t="s">
        <v>1537</v>
      </c>
      <c r="J408" s="770">
        <v>26.45</v>
      </c>
      <c r="K408" s="771"/>
    </row>
    <row r="409" spans="1:11" ht="0.95" customHeight="1" thickTop="1" x14ac:dyDescent="0.2">
      <c r="A409" s="281"/>
      <c r="B409" s="281"/>
      <c r="C409" s="281"/>
      <c r="D409" s="281"/>
      <c r="E409" s="281"/>
      <c r="F409" s="281"/>
      <c r="G409" s="281"/>
      <c r="H409" s="281"/>
      <c r="I409" s="281"/>
      <c r="J409" s="421"/>
      <c r="K409" s="421"/>
    </row>
    <row r="410" spans="1:11" ht="18" customHeight="1" x14ac:dyDescent="0.2">
      <c r="A410" s="272"/>
      <c r="B410" s="272" t="s">
        <v>54</v>
      </c>
      <c r="C410" s="273" t="s">
        <v>1239</v>
      </c>
      <c r="D410" s="272" t="s">
        <v>1240</v>
      </c>
      <c r="E410" s="272" t="s">
        <v>1241</v>
      </c>
      <c r="F410" s="272" t="s">
        <v>1242</v>
      </c>
      <c r="G410" s="274" t="s">
        <v>60</v>
      </c>
      <c r="H410" s="273" t="s">
        <v>58</v>
      </c>
      <c r="I410" s="273" t="s">
        <v>1243</v>
      </c>
      <c r="J410" s="775" t="s">
        <v>196</v>
      </c>
      <c r="K410" s="776"/>
    </row>
    <row r="411" spans="1:11" ht="33" customHeight="1" x14ac:dyDescent="0.2">
      <c r="A411" s="275" t="s">
        <v>1244</v>
      </c>
      <c r="B411" s="275" t="s">
        <v>4087</v>
      </c>
      <c r="C411" s="276" t="s">
        <v>3982</v>
      </c>
      <c r="D411" s="275" t="s">
        <v>1246</v>
      </c>
      <c r="E411" s="275" t="s">
        <v>2743</v>
      </c>
      <c r="F411" s="275" t="s">
        <v>1348</v>
      </c>
      <c r="G411" s="277" t="s">
        <v>75</v>
      </c>
      <c r="H411" s="276">
        <v>1</v>
      </c>
      <c r="I411" s="276" t="s">
        <v>3983</v>
      </c>
      <c r="J411" s="777" t="s">
        <v>3983</v>
      </c>
      <c r="K411" s="778"/>
    </row>
    <row r="412" spans="1:11" ht="21.95" customHeight="1" x14ac:dyDescent="0.2">
      <c r="A412" s="278" t="s">
        <v>1248</v>
      </c>
      <c r="B412" s="278"/>
      <c r="C412" s="279" t="s">
        <v>1774</v>
      </c>
      <c r="D412" s="278" t="s">
        <v>1250</v>
      </c>
      <c r="E412" s="278" t="s">
        <v>1775</v>
      </c>
      <c r="F412" s="278" t="s">
        <v>1252</v>
      </c>
      <c r="G412" s="280" t="s">
        <v>1253</v>
      </c>
      <c r="H412" s="279" t="s">
        <v>1346</v>
      </c>
      <c r="I412" s="279" t="s">
        <v>1777</v>
      </c>
      <c r="J412" s="781">
        <v>6.52</v>
      </c>
      <c r="K412" s="782"/>
    </row>
    <row r="413" spans="1:11" ht="21.95" customHeight="1" x14ac:dyDescent="0.2">
      <c r="A413" s="278" t="s">
        <v>1248</v>
      </c>
      <c r="B413" s="278"/>
      <c r="C413" s="279" t="s">
        <v>1273</v>
      </c>
      <c r="D413" s="278" t="s">
        <v>1250</v>
      </c>
      <c r="E413" s="278" t="s">
        <v>1274</v>
      </c>
      <c r="F413" s="278" t="s">
        <v>1252</v>
      </c>
      <c r="G413" s="280" t="s">
        <v>1253</v>
      </c>
      <c r="H413" s="279" t="s">
        <v>1619</v>
      </c>
      <c r="I413" s="279" t="s">
        <v>1275</v>
      </c>
      <c r="J413" s="781">
        <v>2.77</v>
      </c>
      <c r="K413" s="782"/>
    </row>
    <row r="414" spans="1:11" ht="21.95" customHeight="1" x14ac:dyDescent="0.2">
      <c r="A414" s="278" t="s">
        <v>1248</v>
      </c>
      <c r="B414" s="278"/>
      <c r="C414" s="279" t="s">
        <v>3984</v>
      </c>
      <c r="D414" s="278" t="s">
        <v>1250</v>
      </c>
      <c r="E414" s="278" t="s">
        <v>3985</v>
      </c>
      <c r="F414" s="278" t="s">
        <v>1252</v>
      </c>
      <c r="G414" s="280" t="s">
        <v>153</v>
      </c>
      <c r="H414" s="279" t="s">
        <v>1450</v>
      </c>
      <c r="I414" s="279" t="s">
        <v>3986</v>
      </c>
      <c r="J414" s="781">
        <v>1.36</v>
      </c>
      <c r="K414" s="782"/>
    </row>
    <row r="415" spans="1:11" ht="21.95" customHeight="1" thickBot="1" x14ac:dyDescent="0.25">
      <c r="A415" s="282" t="s">
        <v>1276</v>
      </c>
      <c r="B415" s="282"/>
      <c r="C415" s="283" t="s">
        <v>3987</v>
      </c>
      <c r="D415" s="282" t="s">
        <v>1246</v>
      </c>
      <c r="E415" s="282" t="s">
        <v>3988</v>
      </c>
      <c r="F415" s="282" t="s">
        <v>1278</v>
      </c>
      <c r="G415" s="284" t="s">
        <v>77</v>
      </c>
      <c r="H415" s="283" t="s">
        <v>1986</v>
      </c>
      <c r="I415" s="283" t="s">
        <v>1758</v>
      </c>
      <c r="J415" s="770">
        <v>68.25</v>
      </c>
      <c r="K415" s="771"/>
    </row>
    <row r="416" spans="1:11" ht="0.95" customHeight="1" thickTop="1" x14ac:dyDescent="0.2">
      <c r="A416" s="281"/>
      <c r="B416" s="281"/>
      <c r="C416" s="281"/>
      <c r="D416" s="281"/>
      <c r="E416" s="281"/>
      <c r="F416" s="281"/>
      <c r="G416" s="281"/>
      <c r="H416" s="281"/>
      <c r="I416" s="281"/>
      <c r="J416" s="421"/>
      <c r="K416" s="421"/>
    </row>
    <row r="417" spans="1:11" ht="18" customHeight="1" x14ac:dyDescent="0.2">
      <c r="A417" s="272"/>
      <c r="B417" s="272" t="s">
        <v>54</v>
      </c>
      <c r="C417" s="273" t="s">
        <v>1239</v>
      </c>
      <c r="D417" s="272" t="s">
        <v>1240</v>
      </c>
      <c r="E417" s="272" t="s">
        <v>1241</v>
      </c>
      <c r="F417" s="272" t="s">
        <v>1242</v>
      </c>
      <c r="G417" s="274" t="s">
        <v>60</v>
      </c>
      <c r="H417" s="273" t="s">
        <v>58</v>
      </c>
      <c r="I417" s="273" t="s">
        <v>1243</v>
      </c>
      <c r="J417" s="775" t="s">
        <v>196</v>
      </c>
      <c r="K417" s="776"/>
    </row>
    <row r="418" spans="1:11" ht="21.95" customHeight="1" x14ac:dyDescent="0.2">
      <c r="A418" s="275" t="s">
        <v>1244</v>
      </c>
      <c r="B418" s="275" t="s">
        <v>4088</v>
      </c>
      <c r="C418" s="276" t="s">
        <v>1543</v>
      </c>
      <c r="D418" s="275" t="s">
        <v>1246</v>
      </c>
      <c r="E418" s="275" t="s">
        <v>519</v>
      </c>
      <c r="F418" s="275" t="s">
        <v>1395</v>
      </c>
      <c r="G418" s="277" t="s">
        <v>77</v>
      </c>
      <c r="H418" s="276">
        <v>1</v>
      </c>
      <c r="I418" s="276" t="s">
        <v>1544</v>
      </c>
      <c r="J418" s="777" t="s">
        <v>1544</v>
      </c>
      <c r="K418" s="778"/>
    </row>
    <row r="419" spans="1:11" ht="21.95" customHeight="1" x14ac:dyDescent="0.2">
      <c r="A419" s="278" t="s">
        <v>1248</v>
      </c>
      <c r="B419" s="278"/>
      <c r="C419" s="279" t="s">
        <v>1448</v>
      </c>
      <c r="D419" s="278" t="s">
        <v>1250</v>
      </c>
      <c r="E419" s="278" t="s">
        <v>1449</v>
      </c>
      <c r="F419" s="278" t="s">
        <v>1252</v>
      </c>
      <c r="G419" s="280" t="s">
        <v>1253</v>
      </c>
      <c r="H419" s="279" t="s">
        <v>1486</v>
      </c>
      <c r="I419" s="279" t="s">
        <v>1451</v>
      </c>
      <c r="J419" s="781">
        <v>5.96</v>
      </c>
      <c r="K419" s="782"/>
    </row>
    <row r="420" spans="1:11" ht="21.95" customHeight="1" x14ac:dyDescent="0.2">
      <c r="A420" s="278" t="s">
        <v>1248</v>
      </c>
      <c r="B420" s="278"/>
      <c r="C420" s="279" t="s">
        <v>1273</v>
      </c>
      <c r="D420" s="278" t="s">
        <v>1250</v>
      </c>
      <c r="E420" s="278" t="s">
        <v>1274</v>
      </c>
      <c r="F420" s="278" t="s">
        <v>1252</v>
      </c>
      <c r="G420" s="280" t="s">
        <v>1253</v>
      </c>
      <c r="H420" s="279" t="s">
        <v>1341</v>
      </c>
      <c r="I420" s="279" t="s">
        <v>1275</v>
      </c>
      <c r="J420" s="781">
        <v>3.47</v>
      </c>
      <c r="K420" s="782"/>
    </row>
    <row r="421" spans="1:11" ht="21.95" customHeight="1" x14ac:dyDescent="0.2">
      <c r="A421" s="282" t="s">
        <v>1276</v>
      </c>
      <c r="B421" s="282"/>
      <c r="C421" s="283" t="s">
        <v>1541</v>
      </c>
      <c r="D421" s="282" t="s">
        <v>1250</v>
      </c>
      <c r="E421" s="282" t="s">
        <v>1542</v>
      </c>
      <c r="F421" s="282" t="s">
        <v>1278</v>
      </c>
      <c r="G421" s="284" t="s">
        <v>52</v>
      </c>
      <c r="H421" s="283" t="s">
        <v>1356</v>
      </c>
      <c r="I421" s="283" t="s">
        <v>1529</v>
      </c>
      <c r="J421" s="779">
        <v>0.19</v>
      </c>
      <c r="K421" s="780"/>
    </row>
    <row r="422" spans="1:11" ht="21.95" customHeight="1" thickBot="1" x14ac:dyDescent="0.25">
      <c r="A422" s="282" t="s">
        <v>1276</v>
      </c>
      <c r="B422" s="282"/>
      <c r="C422" s="283" t="s">
        <v>1545</v>
      </c>
      <c r="D422" s="282" t="s">
        <v>1250</v>
      </c>
      <c r="E422" s="282" t="s">
        <v>1546</v>
      </c>
      <c r="F422" s="282" t="s">
        <v>1278</v>
      </c>
      <c r="G422" s="284" t="s">
        <v>1547</v>
      </c>
      <c r="H422" s="283" t="s">
        <v>1548</v>
      </c>
      <c r="I422" s="283" t="s">
        <v>1549</v>
      </c>
      <c r="J422" s="770">
        <v>3.26</v>
      </c>
      <c r="K422" s="771"/>
    </row>
    <row r="423" spans="1:11" ht="0.95" customHeight="1" thickTop="1" x14ac:dyDescent="0.2">
      <c r="A423" s="281"/>
      <c r="B423" s="281"/>
      <c r="C423" s="281"/>
      <c r="D423" s="281"/>
      <c r="E423" s="281"/>
      <c r="F423" s="281"/>
      <c r="G423" s="281"/>
      <c r="H423" s="281"/>
      <c r="I423" s="281"/>
      <c r="J423" s="421"/>
      <c r="K423" s="421"/>
    </row>
    <row r="424" spans="1:11" ht="18" customHeight="1" x14ac:dyDescent="0.2">
      <c r="A424" s="272"/>
      <c r="B424" s="272" t="s">
        <v>54</v>
      </c>
      <c r="C424" s="273" t="s">
        <v>1239</v>
      </c>
      <c r="D424" s="272" t="s">
        <v>1240</v>
      </c>
      <c r="E424" s="272" t="s">
        <v>1241</v>
      </c>
      <c r="F424" s="272" t="s">
        <v>1242</v>
      </c>
      <c r="G424" s="274" t="s">
        <v>60</v>
      </c>
      <c r="H424" s="273" t="s">
        <v>58</v>
      </c>
      <c r="I424" s="273" t="s">
        <v>1243</v>
      </c>
      <c r="J424" s="775" t="s">
        <v>196</v>
      </c>
      <c r="K424" s="776"/>
    </row>
    <row r="425" spans="1:11" ht="21.95" customHeight="1" x14ac:dyDescent="0.2">
      <c r="A425" s="275" t="s">
        <v>1244</v>
      </c>
      <c r="B425" s="275" t="s">
        <v>4089</v>
      </c>
      <c r="C425" s="276" t="s">
        <v>3991</v>
      </c>
      <c r="D425" s="275" t="s">
        <v>1246</v>
      </c>
      <c r="E425" s="275" t="s">
        <v>2765</v>
      </c>
      <c r="F425" s="275" t="s">
        <v>1395</v>
      </c>
      <c r="G425" s="277" t="s">
        <v>77</v>
      </c>
      <c r="H425" s="276">
        <v>1</v>
      </c>
      <c r="I425" s="276" t="s">
        <v>3992</v>
      </c>
      <c r="J425" s="777" t="s">
        <v>3992</v>
      </c>
      <c r="K425" s="778"/>
    </row>
    <row r="426" spans="1:11" ht="21.95" customHeight="1" x14ac:dyDescent="0.2">
      <c r="A426" s="278" t="s">
        <v>1248</v>
      </c>
      <c r="B426" s="278"/>
      <c r="C426" s="279" t="s">
        <v>1448</v>
      </c>
      <c r="D426" s="278" t="s">
        <v>1250</v>
      </c>
      <c r="E426" s="278" t="s">
        <v>1449</v>
      </c>
      <c r="F426" s="278" t="s">
        <v>1252</v>
      </c>
      <c r="G426" s="280" t="s">
        <v>1253</v>
      </c>
      <c r="H426" s="279" t="s">
        <v>1619</v>
      </c>
      <c r="I426" s="279" t="s">
        <v>1451</v>
      </c>
      <c r="J426" s="781">
        <v>3.4</v>
      </c>
      <c r="K426" s="782"/>
    </row>
    <row r="427" spans="1:11" ht="21.95" customHeight="1" x14ac:dyDescent="0.2">
      <c r="A427" s="278" t="s">
        <v>1248</v>
      </c>
      <c r="B427" s="278"/>
      <c r="C427" s="279" t="s">
        <v>1702</v>
      </c>
      <c r="D427" s="278" t="s">
        <v>1250</v>
      </c>
      <c r="E427" s="278" t="s">
        <v>1703</v>
      </c>
      <c r="F427" s="278" t="s">
        <v>1252</v>
      </c>
      <c r="G427" s="280" t="s">
        <v>1253</v>
      </c>
      <c r="H427" s="279" t="s">
        <v>1636</v>
      </c>
      <c r="I427" s="279" t="s">
        <v>1704</v>
      </c>
      <c r="J427" s="781">
        <v>2.63</v>
      </c>
      <c r="K427" s="782"/>
    </row>
    <row r="428" spans="1:11" ht="21.95" customHeight="1" x14ac:dyDescent="0.2">
      <c r="A428" s="282" t="s">
        <v>1276</v>
      </c>
      <c r="B428" s="282"/>
      <c r="C428" s="283" t="s">
        <v>1541</v>
      </c>
      <c r="D428" s="282" t="s">
        <v>1250</v>
      </c>
      <c r="E428" s="282" t="s">
        <v>1542</v>
      </c>
      <c r="F428" s="282" t="s">
        <v>1278</v>
      </c>
      <c r="G428" s="284" t="s">
        <v>52</v>
      </c>
      <c r="H428" s="283" t="s">
        <v>1262</v>
      </c>
      <c r="I428" s="283" t="s">
        <v>1529</v>
      </c>
      <c r="J428" s="779">
        <v>0.65</v>
      </c>
      <c r="K428" s="780"/>
    </row>
    <row r="429" spans="1:11" ht="21.95" customHeight="1" thickBot="1" x14ac:dyDescent="0.25">
      <c r="A429" s="282" t="s">
        <v>1276</v>
      </c>
      <c r="B429" s="282"/>
      <c r="C429" s="283" t="s">
        <v>3993</v>
      </c>
      <c r="D429" s="282" t="s">
        <v>1250</v>
      </c>
      <c r="E429" s="282" t="s">
        <v>3994</v>
      </c>
      <c r="F429" s="282" t="s">
        <v>1278</v>
      </c>
      <c r="G429" s="284" t="s">
        <v>749</v>
      </c>
      <c r="H429" s="283" t="s">
        <v>1393</v>
      </c>
      <c r="I429" s="283" t="s">
        <v>3995</v>
      </c>
      <c r="J429" s="770">
        <v>5.25</v>
      </c>
      <c r="K429" s="771"/>
    </row>
    <row r="430" spans="1:11" ht="0.95" customHeight="1" thickTop="1" x14ac:dyDescent="0.2">
      <c r="A430" s="281"/>
      <c r="B430" s="281"/>
      <c r="C430" s="281"/>
      <c r="D430" s="281"/>
      <c r="E430" s="281"/>
      <c r="F430" s="281"/>
      <c r="G430" s="281"/>
      <c r="H430" s="281"/>
      <c r="I430" s="281"/>
      <c r="J430" s="421"/>
      <c r="K430" s="421"/>
    </row>
    <row r="431" spans="1:11" ht="18" customHeight="1" x14ac:dyDescent="0.2">
      <c r="A431" s="272"/>
      <c r="B431" s="272" t="s">
        <v>54</v>
      </c>
      <c r="C431" s="273" t="s">
        <v>1239</v>
      </c>
      <c r="D431" s="272" t="s">
        <v>1240</v>
      </c>
      <c r="E431" s="272" t="s">
        <v>1241</v>
      </c>
      <c r="F431" s="272" t="s">
        <v>1242</v>
      </c>
      <c r="G431" s="274" t="s">
        <v>60</v>
      </c>
      <c r="H431" s="273" t="s">
        <v>58</v>
      </c>
      <c r="I431" s="273" t="s">
        <v>1243</v>
      </c>
      <c r="J431" s="775" t="s">
        <v>196</v>
      </c>
      <c r="K431" s="776"/>
    </row>
    <row r="432" spans="1:11" ht="33" customHeight="1" x14ac:dyDescent="0.2">
      <c r="A432" s="275" t="s">
        <v>1244</v>
      </c>
      <c r="B432" s="275" t="s">
        <v>4090</v>
      </c>
      <c r="C432" s="276" t="s">
        <v>1806</v>
      </c>
      <c r="D432" s="275" t="s">
        <v>1246</v>
      </c>
      <c r="E432" s="275" t="s">
        <v>565</v>
      </c>
      <c r="F432" s="275" t="s">
        <v>1252</v>
      </c>
      <c r="G432" s="277" t="s">
        <v>52</v>
      </c>
      <c r="H432" s="276">
        <v>1</v>
      </c>
      <c r="I432" s="276" t="s">
        <v>1807</v>
      </c>
      <c r="J432" s="777" t="s">
        <v>1807</v>
      </c>
      <c r="K432" s="778"/>
    </row>
    <row r="433" spans="1:11" ht="54.95" customHeight="1" x14ac:dyDescent="0.2">
      <c r="A433" s="278" t="s">
        <v>1248</v>
      </c>
      <c r="B433" s="278"/>
      <c r="C433" s="279" t="s">
        <v>1808</v>
      </c>
      <c r="D433" s="278" t="s">
        <v>1250</v>
      </c>
      <c r="E433" s="278" t="s">
        <v>1809</v>
      </c>
      <c r="F433" s="278" t="s">
        <v>1379</v>
      </c>
      <c r="G433" s="280" t="s">
        <v>77</v>
      </c>
      <c r="H433" s="279" t="s">
        <v>1810</v>
      </c>
      <c r="I433" s="279" t="s">
        <v>1811</v>
      </c>
      <c r="J433" s="781">
        <v>138.32</v>
      </c>
      <c r="K433" s="782"/>
    </row>
    <row r="434" spans="1:11" ht="44.1" customHeight="1" x14ac:dyDescent="0.2">
      <c r="A434" s="278" t="s">
        <v>1248</v>
      </c>
      <c r="B434" s="278"/>
      <c r="C434" s="279" t="s">
        <v>1812</v>
      </c>
      <c r="D434" s="278" t="s">
        <v>1250</v>
      </c>
      <c r="E434" s="278" t="s">
        <v>1813</v>
      </c>
      <c r="F434" s="278" t="s">
        <v>1351</v>
      </c>
      <c r="G434" s="280" t="s">
        <v>77</v>
      </c>
      <c r="H434" s="279" t="s">
        <v>1814</v>
      </c>
      <c r="I434" s="279" t="s">
        <v>1540</v>
      </c>
      <c r="J434" s="781">
        <v>1098.4000000000001</v>
      </c>
      <c r="K434" s="782"/>
    </row>
    <row r="435" spans="1:11" ht="44.1" customHeight="1" x14ac:dyDescent="0.2">
      <c r="A435" s="278" t="s">
        <v>1248</v>
      </c>
      <c r="B435" s="278"/>
      <c r="C435" s="279" t="s">
        <v>1815</v>
      </c>
      <c r="D435" s="278" t="s">
        <v>1250</v>
      </c>
      <c r="E435" s="278" t="s">
        <v>1816</v>
      </c>
      <c r="F435" s="278" t="s">
        <v>1351</v>
      </c>
      <c r="G435" s="280" t="s">
        <v>77</v>
      </c>
      <c r="H435" s="279" t="s">
        <v>1817</v>
      </c>
      <c r="I435" s="279" t="s">
        <v>1818</v>
      </c>
      <c r="J435" s="781">
        <v>23.94</v>
      </c>
      <c r="K435" s="782"/>
    </row>
    <row r="436" spans="1:11" ht="44.1" customHeight="1" x14ac:dyDescent="0.2">
      <c r="A436" s="278" t="s">
        <v>1248</v>
      </c>
      <c r="B436" s="278"/>
      <c r="C436" s="279" t="s">
        <v>1819</v>
      </c>
      <c r="D436" s="278" t="s">
        <v>1250</v>
      </c>
      <c r="E436" s="278" t="s">
        <v>1820</v>
      </c>
      <c r="F436" s="278" t="s">
        <v>1364</v>
      </c>
      <c r="G436" s="280" t="s">
        <v>71</v>
      </c>
      <c r="H436" s="279" t="s">
        <v>1821</v>
      </c>
      <c r="I436" s="279" t="s">
        <v>1822</v>
      </c>
      <c r="J436" s="781">
        <v>12.85</v>
      </c>
      <c r="K436" s="782"/>
    </row>
    <row r="437" spans="1:11" ht="54.95" customHeight="1" x14ac:dyDescent="0.2">
      <c r="A437" s="278" t="s">
        <v>1248</v>
      </c>
      <c r="B437" s="278"/>
      <c r="C437" s="279" t="s">
        <v>1823</v>
      </c>
      <c r="D437" s="278" t="s">
        <v>1250</v>
      </c>
      <c r="E437" s="278" t="s">
        <v>1824</v>
      </c>
      <c r="F437" s="278" t="s">
        <v>1351</v>
      </c>
      <c r="G437" s="280" t="s">
        <v>77</v>
      </c>
      <c r="H437" s="279" t="s">
        <v>1817</v>
      </c>
      <c r="I437" s="279" t="s">
        <v>1825</v>
      </c>
      <c r="J437" s="781">
        <v>210.56</v>
      </c>
      <c r="K437" s="782"/>
    </row>
    <row r="438" spans="1:11" ht="21.95" customHeight="1" x14ac:dyDescent="0.2">
      <c r="A438" s="282" t="s">
        <v>1276</v>
      </c>
      <c r="B438" s="282"/>
      <c r="C438" s="283" t="s">
        <v>1826</v>
      </c>
      <c r="D438" s="282" t="s">
        <v>1246</v>
      </c>
      <c r="E438" s="282" t="s">
        <v>916</v>
      </c>
      <c r="F438" s="282" t="s">
        <v>1278</v>
      </c>
      <c r="G438" s="284" t="s">
        <v>52</v>
      </c>
      <c r="H438" s="283" t="s">
        <v>1262</v>
      </c>
      <c r="I438" s="283" t="s">
        <v>1827</v>
      </c>
      <c r="J438" s="779">
        <v>3200</v>
      </c>
      <c r="K438" s="780"/>
    </row>
    <row r="439" spans="1:11" ht="21.95" customHeight="1" x14ac:dyDescent="0.2">
      <c r="A439" s="282" t="s">
        <v>1276</v>
      </c>
      <c r="B439" s="282"/>
      <c r="C439" s="283" t="s">
        <v>1753</v>
      </c>
      <c r="D439" s="282" t="s">
        <v>1250</v>
      </c>
      <c r="E439" s="282" t="s">
        <v>1754</v>
      </c>
      <c r="F439" s="282" t="s">
        <v>1278</v>
      </c>
      <c r="G439" s="284" t="s">
        <v>71</v>
      </c>
      <c r="H439" s="283" t="s">
        <v>1828</v>
      </c>
      <c r="I439" s="283" t="s">
        <v>1756</v>
      </c>
      <c r="J439" s="779">
        <v>33.409999999999997</v>
      </c>
      <c r="K439" s="780"/>
    </row>
    <row r="440" spans="1:11" ht="21.95" customHeight="1" thickBot="1" x14ac:dyDescent="0.25">
      <c r="A440" s="282" t="s">
        <v>1276</v>
      </c>
      <c r="B440" s="282"/>
      <c r="C440" s="283" t="s">
        <v>1829</v>
      </c>
      <c r="D440" s="282" t="s">
        <v>1250</v>
      </c>
      <c r="E440" s="282" t="s">
        <v>1830</v>
      </c>
      <c r="F440" s="282" t="s">
        <v>1278</v>
      </c>
      <c r="G440" s="284" t="s">
        <v>52</v>
      </c>
      <c r="H440" s="283" t="s">
        <v>1831</v>
      </c>
      <c r="I440" s="283" t="s">
        <v>1832</v>
      </c>
      <c r="J440" s="770">
        <v>12.24</v>
      </c>
      <c r="K440" s="771"/>
    </row>
    <row r="441" spans="1:11" ht="0.95" customHeight="1" thickTop="1" x14ac:dyDescent="0.2">
      <c r="A441" s="281"/>
      <c r="B441" s="281"/>
      <c r="C441" s="281"/>
      <c r="D441" s="281"/>
      <c r="E441" s="281"/>
      <c r="F441" s="281"/>
      <c r="G441" s="281"/>
      <c r="H441" s="281"/>
      <c r="I441" s="281"/>
      <c r="J441" s="421"/>
      <c r="K441" s="421"/>
    </row>
    <row r="442" spans="1:11" ht="18" customHeight="1" x14ac:dyDescent="0.2">
      <c r="A442" s="272"/>
      <c r="B442" s="272" t="s">
        <v>54</v>
      </c>
      <c r="C442" s="273" t="s">
        <v>1239</v>
      </c>
      <c r="D442" s="272" t="s">
        <v>1240</v>
      </c>
      <c r="E442" s="272" t="s">
        <v>1241</v>
      </c>
      <c r="F442" s="272" t="s">
        <v>1242</v>
      </c>
      <c r="G442" s="274" t="s">
        <v>60</v>
      </c>
      <c r="H442" s="273" t="s">
        <v>58</v>
      </c>
      <c r="I442" s="273" t="s">
        <v>1243</v>
      </c>
      <c r="J442" s="775" t="s">
        <v>196</v>
      </c>
      <c r="K442" s="776"/>
    </row>
    <row r="443" spans="1:11" ht="44.1" customHeight="1" x14ac:dyDescent="0.2">
      <c r="A443" s="275" t="s">
        <v>1244</v>
      </c>
      <c r="B443" s="275" t="s">
        <v>4091</v>
      </c>
      <c r="C443" s="276" t="s">
        <v>1833</v>
      </c>
      <c r="D443" s="275" t="s">
        <v>1246</v>
      </c>
      <c r="E443" s="275" t="s">
        <v>566</v>
      </c>
      <c r="F443" s="275" t="s">
        <v>1252</v>
      </c>
      <c r="G443" s="277" t="s">
        <v>52</v>
      </c>
      <c r="H443" s="276">
        <v>1</v>
      </c>
      <c r="I443" s="276" t="s">
        <v>1834</v>
      </c>
      <c r="J443" s="777" t="s">
        <v>1834</v>
      </c>
      <c r="K443" s="778"/>
    </row>
    <row r="444" spans="1:11" ht="54.95" customHeight="1" x14ac:dyDescent="0.2">
      <c r="A444" s="278" t="s">
        <v>1248</v>
      </c>
      <c r="B444" s="278"/>
      <c r="C444" s="279" t="s">
        <v>1808</v>
      </c>
      <c r="D444" s="278" t="s">
        <v>1250</v>
      </c>
      <c r="E444" s="278" t="s">
        <v>1809</v>
      </c>
      <c r="F444" s="278" t="s">
        <v>1379</v>
      </c>
      <c r="G444" s="280" t="s">
        <v>77</v>
      </c>
      <c r="H444" s="279" t="s">
        <v>1835</v>
      </c>
      <c r="I444" s="279" t="s">
        <v>1811</v>
      </c>
      <c r="J444" s="781">
        <v>321.45</v>
      </c>
      <c r="K444" s="782"/>
    </row>
    <row r="445" spans="1:11" ht="54.95" customHeight="1" x14ac:dyDescent="0.2">
      <c r="A445" s="278" t="s">
        <v>1248</v>
      </c>
      <c r="B445" s="278"/>
      <c r="C445" s="279" t="s">
        <v>1836</v>
      </c>
      <c r="D445" s="278" t="s">
        <v>1250</v>
      </c>
      <c r="E445" s="278" t="s">
        <v>1837</v>
      </c>
      <c r="F445" s="278" t="s">
        <v>1348</v>
      </c>
      <c r="G445" s="280" t="s">
        <v>77</v>
      </c>
      <c r="H445" s="279" t="s">
        <v>1838</v>
      </c>
      <c r="I445" s="279" t="s">
        <v>1839</v>
      </c>
      <c r="J445" s="781">
        <v>40.630000000000003</v>
      </c>
      <c r="K445" s="782"/>
    </row>
    <row r="446" spans="1:11" ht="54.95" customHeight="1" x14ac:dyDescent="0.2">
      <c r="A446" s="278" t="s">
        <v>1248</v>
      </c>
      <c r="B446" s="278"/>
      <c r="C446" s="279" t="s">
        <v>1840</v>
      </c>
      <c r="D446" s="278" t="s">
        <v>1250</v>
      </c>
      <c r="E446" s="278" t="s">
        <v>1841</v>
      </c>
      <c r="F446" s="278" t="s">
        <v>1351</v>
      </c>
      <c r="G446" s="280" t="s">
        <v>77</v>
      </c>
      <c r="H446" s="279" t="s">
        <v>1842</v>
      </c>
      <c r="I446" s="279" t="s">
        <v>1843</v>
      </c>
      <c r="J446" s="781">
        <v>249.02</v>
      </c>
      <c r="K446" s="782"/>
    </row>
    <row r="447" spans="1:11" ht="44.1" customHeight="1" x14ac:dyDescent="0.2">
      <c r="A447" s="278" t="s">
        <v>1248</v>
      </c>
      <c r="B447" s="278"/>
      <c r="C447" s="279" t="s">
        <v>1815</v>
      </c>
      <c r="D447" s="278" t="s">
        <v>1250</v>
      </c>
      <c r="E447" s="278" t="s">
        <v>1816</v>
      </c>
      <c r="F447" s="278" t="s">
        <v>1351</v>
      </c>
      <c r="G447" s="280" t="s">
        <v>77</v>
      </c>
      <c r="H447" s="279" t="s">
        <v>1844</v>
      </c>
      <c r="I447" s="279" t="s">
        <v>1818</v>
      </c>
      <c r="J447" s="781">
        <v>27.76</v>
      </c>
      <c r="K447" s="782"/>
    </row>
    <row r="448" spans="1:11" ht="54.95" customHeight="1" x14ac:dyDescent="0.2">
      <c r="A448" s="278" t="s">
        <v>1248</v>
      </c>
      <c r="B448" s="278"/>
      <c r="C448" s="279" t="s">
        <v>1381</v>
      </c>
      <c r="D448" s="278" t="s">
        <v>1250</v>
      </c>
      <c r="E448" s="278" t="s">
        <v>324</v>
      </c>
      <c r="F448" s="278" t="s">
        <v>1351</v>
      </c>
      <c r="G448" s="280" t="s">
        <v>77</v>
      </c>
      <c r="H448" s="279" t="s">
        <v>1835</v>
      </c>
      <c r="I448" s="279" t="s">
        <v>1383</v>
      </c>
      <c r="J448" s="781">
        <v>125.08</v>
      </c>
      <c r="K448" s="782"/>
    </row>
    <row r="449" spans="1:11" ht="54.95" customHeight="1" x14ac:dyDescent="0.2">
      <c r="A449" s="278" t="s">
        <v>1248</v>
      </c>
      <c r="B449" s="278"/>
      <c r="C449" s="279" t="s">
        <v>1823</v>
      </c>
      <c r="D449" s="278" t="s">
        <v>1250</v>
      </c>
      <c r="E449" s="278" t="s">
        <v>1824</v>
      </c>
      <c r="F449" s="278" t="s">
        <v>1351</v>
      </c>
      <c r="G449" s="280" t="s">
        <v>77</v>
      </c>
      <c r="H449" s="279" t="s">
        <v>1835</v>
      </c>
      <c r="I449" s="279" t="s">
        <v>1825</v>
      </c>
      <c r="J449" s="781">
        <v>122.07</v>
      </c>
      <c r="K449" s="782"/>
    </row>
    <row r="450" spans="1:11" ht="33" customHeight="1" x14ac:dyDescent="0.2">
      <c r="A450" s="278" t="s">
        <v>1248</v>
      </c>
      <c r="B450" s="278"/>
      <c r="C450" s="279" t="s">
        <v>1845</v>
      </c>
      <c r="D450" s="278" t="s">
        <v>1250</v>
      </c>
      <c r="E450" s="278" t="s">
        <v>1846</v>
      </c>
      <c r="F450" s="278" t="s">
        <v>1364</v>
      </c>
      <c r="G450" s="280" t="s">
        <v>77</v>
      </c>
      <c r="H450" s="279" t="s">
        <v>1847</v>
      </c>
      <c r="I450" s="279" t="s">
        <v>1848</v>
      </c>
      <c r="J450" s="781">
        <v>210.99</v>
      </c>
      <c r="K450" s="782"/>
    </row>
    <row r="451" spans="1:11" ht="21.95" customHeight="1" x14ac:dyDescent="0.2">
      <c r="A451" s="278" t="s">
        <v>1248</v>
      </c>
      <c r="B451" s="278"/>
      <c r="C451" s="279" t="s">
        <v>1849</v>
      </c>
      <c r="D451" s="278" t="s">
        <v>1250</v>
      </c>
      <c r="E451" s="278" t="s">
        <v>1850</v>
      </c>
      <c r="F451" s="278" t="s">
        <v>1348</v>
      </c>
      <c r="G451" s="280" t="s">
        <v>77</v>
      </c>
      <c r="H451" s="279" t="s">
        <v>1838</v>
      </c>
      <c r="I451" s="279" t="s">
        <v>1851</v>
      </c>
      <c r="J451" s="781">
        <v>57</v>
      </c>
      <c r="K451" s="782"/>
    </row>
    <row r="452" spans="1:11" ht="54.95" customHeight="1" x14ac:dyDescent="0.2">
      <c r="A452" s="278" t="s">
        <v>1248</v>
      </c>
      <c r="B452" s="278"/>
      <c r="C452" s="279" t="s">
        <v>1852</v>
      </c>
      <c r="D452" s="278" t="s">
        <v>1250</v>
      </c>
      <c r="E452" s="278" t="s">
        <v>1853</v>
      </c>
      <c r="F452" s="278" t="s">
        <v>1348</v>
      </c>
      <c r="G452" s="280" t="s">
        <v>77</v>
      </c>
      <c r="H452" s="279" t="s">
        <v>1838</v>
      </c>
      <c r="I452" s="279" t="s">
        <v>1854</v>
      </c>
      <c r="J452" s="781">
        <v>42.43</v>
      </c>
      <c r="K452" s="782"/>
    </row>
    <row r="453" spans="1:11" ht="33" customHeight="1" x14ac:dyDescent="0.2">
      <c r="A453" s="278" t="s">
        <v>1248</v>
      </c>
      <c r="B453" s="278"/>
      <c r="C453" s="279" t="s">
        <v>1855</v>
      </c>
      <c r="D453" s="278" t="s">
        <v>1250</v>
      </c>
      <c r="E453" s="278" t="s">
        <v>1856</v>
      </c>
      <c r="F453" s="278" t="s">
        <v>1353</v>
      </c>
      <c r="G453" s="280" t="s">
        <v>77</v>
      </c>
      <c r="H453" s="279" t="s">
        <v>1857</v>
      </c>
      <c r="I453" s="279" t="s">
        <v>1858</v>
      </c>
      <c r="J453" s="781">
        <v>2058.14</v>
      </c>
      <c r="K453" s="782"/>
    </row>
    <row r="454" spans="1:11" ht="33" customHeight="1" thickBot="1" x14ac:dyDescent="0.25">
      <c r="A454" s="278" t="s">
        <v>1248</v>
      </c>
      <c r="B454" s="278"/>
      <c r="C454" s="279" t="s">
        <v>1859</v>
      </c>
      <c r="D454" s="278" t="s">
        <v>1250</v>
      </c>
      <c r="E454" s="278" t="s">
        <v>1860</v>
      </c>
      <c r="F454" s="278" t="s">
        <v>1750</v>
      </c>
      <c r="G454" s="280" t="s">
        <v>52</v>
      </c>
      <c r="H454" s="279" t="s">
        <v>1262</v>
      </c>
      <c r="I454" s="279" t="s">
        <v>1861</v>
      </c>
      <c r="J454" s="784">
        <v>7.16</v>
      </c>
      <c r="K454" s="785"/>
    </row>
    <row r="455" spans="1:11" ht="0.95" customHeight="1" thickTop="1" x14ac:dyDescent="0.2">
      <c r="A455" s="281"/>
      <c r="B455" s="281"/>
      <c r="C455" s="281"/>
      <c r="D455" s="281"/>
      <c r="E455" s="281"/>
      <c r="F455" s="281"/>
      <c r="G455" s="281"/>
      <c r="H455" s="281"/>
      <c r="I455" s="281"/>
      <c r="J455" s="421"/>
      <c r="K455" s="421"/>
    </row>
    <row r="456" spans="1:11" ht="18" customHeight="1" x14ac:dyDescent="0.2">
      <c r="A456" s="272"/>
      <c r="B456" s="272" t="s">
        <v>54</v>
      </c>
      <c r="C456" s="273" t="s">
        <v>1239</v>
      </c>
      <c r="D456" s="272" t="s">
        <v>1240</v>
      </c>
      <c r="E456" s="272" t="s">
        <v>1241</v>
      </c>
      <c r="F456" s="272" t="s">
        <v>1242</v>
      </c>
      <c r="G456" s="274" t="s">
        <v>60</v>
      </c>
      <c r="H456" s="273" t="s">
        <v>58</v>
      </c>
      <c r="I456" s="273" t="s">
        <v>1243</v>
      </c>
      <c r="J456" s="775" t="s">
        <v>196</v>
      </c>
      <c r="K456" s="776"/>
    </row>
    <row r="457" spans="1:11" ht="21.95" customHeight="1" x14ac:dyDescent="0.2">
      <c r="A457" s="275" t="s">
        <v>1244</v>
      </c>
      <c r="B457" s="275" t="s">
        <v>4092</v>
      </c>
      <c r="C457" s="276" t="s">
        <v>1862</v>
      </c>
      <c r="D457" s="275" t="s">
        <v>1246</v>
      </c>
      <c r="E457" s="275" t="s">
        <v>463</v>
      </c>
      <c r="F457" s="275" t="s">
        <v>1252</v>
      </c>
      <c r="G457" s="277" t="s">
        <v>52</v>
      </c>
      <c r="H457" s="276">
        <v>1</v>
      </c>
      <c r="I457" s="276" t="s">
        <v>1863</v>
      </c>
      <c r="J457" s="777" t="s">
        <v>1863</v>
      </c>
      <c r="K457" s="778"/>
    </row>
    <row r="458" spans="1:11" ht="21.95" customHeight="1" x14ac:dyDescent="0.2">
      <c r="A458" s="278" t="s">
        <v>1248</v>
      </c>
      <c r="B458" s="278"/>
      <c r="C458" s="279" t="s">
        <v>1864</v>
      </c>
      <c r="D458" s="278" t="s">
        <v>1250</v>
      </c>
      <c r="E458" s="278" t="s">
        <v>1865</v>
      </c>
      <c r="F458" s="278" t="s">
        <v>1252</v>
      </c>
      <c r="G458" s="280" t="s">
        <v>1253</v>
      </c>
      <c r="H458" s="279" t="s">
        <v>1262</v>
      </c>
      <c r="I458" s="279" t="s">
        <v>1866</v>
      </c>
      <c r="J458" s="781">
        <v>17.690000000000001</v>
      </c>
      <c r="K458" s="782"/>
    </row>
    <row r="459" spans="1:11" ht="21.95" customHeight="1" x14ac:dyDescent="0.2">
      <c r="A459" s="278" t="s">
        <v>1248</v>
      </c>
      <c r="B459" s="278"/>
      <c r="C459" s="279" t="s">
        <v>1273</v>
      </c>
      <c r="D459" s="278" t="s">
        <v>1250</v>
      </c>
      <c r="E459" s="278" t="s">
        <v>1274</v>
      </c>
      <c r="F459" s="278" t="s">
        <v>1252</v>
      </c>
      <c r="G459" s="280" t="s">
        <v>1253</v>
      </c>
      <c r="H459" s="279" t="s">
        <v>1417</v>
      </c>
      <c r="I459" s="279" t="s">
        <v>1275</v>
      </c>
      <c r="J459" s="781">
        <v>27.78</v>
      </c>
      <c r="K459" s="782"/>
    </row>
    <row r="460" spans="1:11" ht="21.95" customHeight="1" thickBot="1" x14ac:dyDescent="0.25">
      <c r="A460" s="282" t="s">
        <v>1276</v>
      </c>
      <c r="B460" s="282"/>
      <c r="C460" s="283" t="s">
        <v>1867</v>
      </c>
      <c r="D460" s="282" t="s">
        <v>1246</v>
      </c>
      <c r="E460" s="282" t="s">
        <v>857</v>
      </c>
      <c r="F460" s="282" t="s">
        <v>1278</v>
      </c>
      <c r="G460" s="284" t="s">
        <v>52</v>
      </c>
      <c r="H460" s="283" t="s">
        <v>1262</v>
      </c>
      <c r="I460" s="283" t="s">
        <v>1868</v>
      </c>
      <c r="J460" s="770">
        <v>188.24</v>
      </c>
      <c r="K460" s="771"/>
    </row>
    <row r="461" spans="1:11" ht="0.95" customHeight="1" thickTop="1" x14ac:dyDescent="0.2">
      <c r="A461" s="281"/>
      <c r="B461" s="281"/>
      <c r="C461" s="281"/>
      <c r="D461" s="281"/>
      <c r="E461" s="281"/>
      <c r="F461" s="281"/>
      <c r="G461" s="281"/>
      <c r="H461" s="281"/>
      <c r="I461" s="281"/>
      <c r="J461" s="421"/>
      <c r="K461" s="421"/>
    </row>
    <row r="462" spans="1:11" ht="18" customHeight="1" x14ac:dyDescent="0.2">
      <c r="A462" s="272"/>
      <c r="B462" s="272" t="s">
        <v>54</v>
      </c>
      <c r="C462" s="273" t="s">
        <v>1239</v>
      </c>
      <c r="D462" s="272" t="s">
        <v>1240</v>
      </c>
      <c r="E462" s="272" t="s">
        <v>1241</v>
      </c>
      <c r="F462" s="272" t="s">
        <v>1242</v>
      </c>
      <c r="G462" s="274" t="s">
        <v>60</v>
      </c>
      <c r="H462" s="273" t="s">
        <v>58</v>
      </c>
      <c r="I462" s="273" t="s">
        <v>1243</v>
      </c>
      <c r="J462" s="775" t="s">
        <v>196</v>
      </c>
      <c r="K462" s="776"/>
    </row>
    <row r="463" spans="1:11" ht="44.1" customHeight="1" x14ac:dyDescent="0.2">
      <c r="A463" s="275" t="s">
        <v>1244</v>
      </c>
      <c r="B463" s="275" t="s">
        <v>4093</v>
      </c>
      <c r="C463" s="276" t="s">
        <v>1502</v>
      </c>
      <c r="D463" s="275" t="s">
        <v>1246</v>
      </c>
      <c r="E463" s="275" t="s">
        <v>337</v>
      </c>
      <c r="F463" s="275" t="s">
        <v>1353</v>
      </c>
      <c r="G463" s="277" t="s">
        <v>52</v>
      </c>
      <c r="H463" s="276">
        <v>1</v>
      </c>
      <c r="I463" s="276" t="s">
        <v>1503</v>
      </c>
      <c r="J463" s="777" t="s">
        <v>1503</v>
      </c>
      <c r="K463" s="778"/>
    </row>
    <row r="464" spans="1:11" ht="21.95" customHeight="1" x14ac:dyDescent="0.2">
      <c r="A464" s="278" t="s">
        <v>1248</v>
      </c>
      <c r="B464" s="278"/>
      <c r="C464" s="279" t="s">
        <v>1269</v>
      </c>
      <c r="D464" s="278" t="s">
        <v>1250</v>
      </c>
      <c r="E464" s="278" t="s">
        <v>1270</v>
      </c>
      <c r="F464" s="278" t="s">
        <v>1252</v>
      </c>
      <c r="G464" s="280" t="s">
        <v>1253</v>
      </c>
      <c r="H464" s="279" t="s">
        <v>1504</v>
      </c>
      <c r="I464" s="279" t="s">
        <v>1272</v>
      </c>
      <c r="J464" s="781">
        <v>59.13</v>
      </c>
      <c r="K464" s="782"/>
    </row>
    <row r="465" spans="1:11" ht="21.95" customHeight="1" x14ac:dyDescent="0.2">
      <c r="A465" s="278" t="s">
        <v>1248</v>
      </c>
      <c r="B465" s="278"/>
      <c r="C465" s="279" t="s">
        <v>1273</v>
      </c>
      <c r="D465" s="278" t="s">
        <v>1250</v>
      </c>
      <c r="E465" s="278" t="s">
        <v>1274</v>
      </c>
      <c r="F465" s="278" t="s">
        <v>1252</v>
      </c>
      <c r="G465" s="280" t="s">
        <v>1253</v>
      </c>
      <c r="H465" s="279" t="s">
        <v>1505</v>
      </c>
      <c r="I465" s="279" t="s">
        <v>1275</v>
      </c>
      <c r="J465" s="781">
        <v>24.02</v>
      </c>
      <c r="K465" s="782"/>
    </row>
    <row r="466" spans="1:11" ht="21.95" customHeight="1" x14ac:dyDescent="0.2">
      <c r="A466" s="278" t="s">
        <v>1248</v>
      </c>
      <c r="B466" s="278"/>
      <c r="C466" s="279" t="s">
        <v>1492</v>
      </c>
      <c r="D466" s="278" t="s">
        <v>1250</v>
      </c>
      <c r="E466" s="278" t="s">
        <v>1493</v>
      </c>
      <c r="F466" s="278" t="s">
        <v>1252</v>
      </c>
      <c r="G466" s="280" t="s">
        <v>153</v>
      </c>
      <c r="H466" s="279" t="s">
        <v>1347</v>
      </c>
      <c r="I466" s="279" t="s">
        <v>1495</v>
      </c>
      <c r="J466" s="781">
        <v>15.77</v>
      </c>
      <c r="K466" s="782"/>
    </row>
    <row r="467" spans="1:11" ht="21.95" customHeight="1" thickBot="1" x14ac:dyDescent="0.25">
      <c r="A467" s="282" t="s">
        <v>1276</v>
      </c>
      <c r="B467" s="282"/>
      <c r="C467" s="283" t="s">
        <v>1506</v>
      </c>
      <c r="D467" s="282" t="s">
        <v>1246</v>
      </c>
      <c r="E467" s="282" t="s">
        <v>769</v>
      </c>
      <c r="F467" s="282" t="s">
        <v>1278</v>
      </c>
      <c r="G467" s="284" t="s">
        <v>52</v>
      </c>
      <c r="H467" s="283" t="s">
        <v>1262</v>
      </c>
      <c r="I467" s="283" t="s">
        <v>1507</v>
      </c>
      <c r="J467" s="770">
        <v>1100</v>
      </c>
      <c r="K467" s="771"/>
    </row>
    <row r="468" spans="1:11" ht="0.95" customHeight="1" thickTop="1" x14ac:dyDescent="0.2">
      <c r="A468" s="281"/>
      <c r="B468" s="281"/>
      <c r="C468" s="281"/>
      <c r="D468" s="281"/>
      <c r="E468" s="281"/>
      <c r="F468" s="281"/>
      <c r="G468" s="281"/>
      <c r="H468" s="281"/>
      <c r="I468" s="281"/>
      <c r="J468" s="421"/>
      <c r="K468" s="421"/>
    </row>
    <row r="469" spans="1:11" ht="18" customHeight="1" x14ac:dyDescent="0.2">
      <c r="A469" s="272"/>
      <c r="B469" s="272" t="s">
        <v>54</v>
      </c>
      <c r="C469" s="273" t="s">
        <v>1239</v>
      </c>
      <c r="D469" s="272" t="s">
        <v>1240</v>
      </c>
      <c r="E469" s="272" t="s">
        <v>1241</v>
      </c>
      <c r="F469" s="272" t="s">
        <v>1242</v>
      </c>
      <c r="G469" s="274" t="s">
        <v>60</v>
      </c>
      <c r="H469" s="273" t="s">
        <v>58</v>
      </c>
      <c r="I469" s="273" t="s">
        <v>1243</v>
      </c>
      <c r="J469" s="775" t="s">
        <v>196</v>
      </c>
      <c r="K469" s="776"/>
    </row>
    <row r="470" spans="1:11" ht="33" customHeight="1" x14ac:dyDescent="0.2">
      <c r="A470" s="275" t="s">
        <v>1244</v>
      </c>
      <c r="B470" s="275" t="s">
        <v>4094</v>
      </c>
      <c r="C470" s="276" t="s">
        <v>3982</v>
      </c>
      <c r="D470" s="275" t="s">
        <v>1246</v>
      </c>
      <c r="E470" s="275" t="s">
        <v>2743</v>
      </c>
      <c r="F470" s="275" t="s">
        <v>1348</v>
      </c>
      <c r="G470" s="277" t="s">
        <v>75</v>
      </c>
      <c r="H470" s="276">
        <v>1</v>
      </c>
      <c r="I470" s="276" t="s">
        <v>3983</v>
      </c>
      <c r="J470" s="777" t="s">
        <v>3983</v>
      </c>
      <c r="K470" s="778"/>
    </row>
    <row r="471" spans="1:11" ht="21.95" customHeight="1" x14ac:dyDescent="0.2">
      <c r="A471" s="278" t="s">
        <v>1248</v>
      </c>
      <c r="B471" s="278"/>
      <c r="C471" s="279" t="s">
        <v>1774</v>
      </c>
      <c r="D471" s="278" t="s">
        <v>1250</v>
      </c>
      <c r="E471" s="278" t="s">
        <v>1775</v>
      </c>
      <c r="F471" s="278" t="s">
        <v>1252</v>
      </c>
      <c r="G471" s="280" t="s">
        <v>1253</v>
      </c>
      <c r="H471" s="279" t="s">
        <v>1346</v>
      </c>
      <c r="I471" s="279" t="s">
        <v>1777</v>
      </c>
      <c r="J471" s="781">
        <v>6.52</v>
      </c>
      <c r="K471" s="782"/>
    </row>
    <row r="472" spans="1:11" ht="21.95" customHeight="1" x14ac:dyDescent="0.2">
      <c r="A472" s="278" t="s">
        <v>1248</v>
      </c>
      <c r="B472" s="278"/>
      <c r="C472" s="279" t="s">
        <v>1273</v>
      </c>
      <c r="D472" s="278" t="s">
        <v>1250</v>
      </c>
      <c r="E472" s="278" t="s">
        <v>1274</v>
      </c>
      <c r="F472" s="278" t="s">
        <v>1252</v>
      </c>
      <c r="G472" s="280" t="s">
        <v>1253</v>
      </c>
      <c r="H472" s="279" t="s">
        <v>1619</v>
      </c>
      <c r="I472" s="279" t="s">
        <v>1275</v>
      </c>
      <c r="J472" s="781">
        <v>2.77</v>
      </c>
      <c r="K472" s="782"/>
    </row>
    <row r="473" spans="1:11" ht="21.95" customHeight="1" x14ac:dyDescent="0.2">
      <c r="A473" s="278" t="s">
        <v>1248</v>
      </c>
      <c r="B473" s="278"/>
      <c r="C473" s="279" t="s">
        <v>3984</v>
      </c>
      <c r="D473" s="278" t="s">
        <v>1250</v>
      </c>
      <c r="E473" s="278" t="s">
        <v>3985</v>
      </c>
      <c r="F473" s="278" t="s">
        <v>1252</v>
      </c>
      <c r="G473" s="280" t="s">
        <v>153</v>
      </c>
      <c r="H473" s="279" t="s">
        <v>1450</v>
      </c>
      <c r="I473" s="279" t="s">
        <v>3986</v>
      </c>
      <c r="J473" s="781">
        <v>1.36</v>
      </c>
      <c r="K473" s="782"/>
    </row>
    <row r="474" spans="1:11" ht="21.95" customHeight="1" thickBot="1" x14ac:dyDescent="0.25">
      <c r="A474" s="282" t="s">
        <v>1276</v>
      </c>
      <c r="B474" s="282"/>
      <c r="C474" s="283" t="s">
        <v>3987</v>
      </c>
      <c r="D474" s="282" t="s">
        <v>1246</v>
      </c>
      <c r="E474" s="282" t="s">
        <v>3988</v>
      </c>
      <c r="F474" s="282" t="s">
        <v>1278</v>
      </c>
      <c r="G474" s="284" t="s">
        <v>77</v>
      </c>
      <c r="H474" s="283" t="s">
        <v>1986</v>
      </c>
      <c r="I474" s="283" t="s">
        <v>1758</v>
      </c>
      <c r="J474" s="770">
        <v>68.25</v>
      </c>
      <c r="K474" s="771"/>
    </row>
    <row r="475" spans="1:11" ht="0.95" customHeight="1" thickTop="1" x14ac:dyDescent="0.2">
      <c r="A475" s="281"/>
      <c r="B475" s="281"/>
      <c r="C475" s="281"/>
      <c r="D475" s="281"/>
      <c r="E475" s="281"/>
      <c r="F475" s="281"/>
      <c r="G475" s="281"/>
      <c r="H475" s="281"/>
      <c r="I475" s="281"/>
      <c r="J475" s="421"/>
      <c r="K475" s="421"/>
    </row>
    <row r="476" spans="1:11" ht="18" customHeight="1" x14ac:dyDescent="0.2">
      <c r="A476" s="272"/>
      <c r="B476" s="272" t="s">
        <v>54</v>
      </c>
      <c r="C476" s="273" t="s">
        <v>1239</v>
      </c>
      <c r="D476" s="272" t="s">
        <v>1240</v>
      </c>
      <c r="E476" s="272" t="s">
        <v>1241</v>
      </c>
      <c r="F476" s="272" t="s">
        <v>1242</v>
      </c>
      <c r="G476" s="274" t="s">
        <v>60</v>
      </c>
      <c r="H476" s="273" t="s">
        <v>58</v>
      </c>
      <c r="I476" s="273" t="s">
        <v>1243</v>
      </c>
      <c r="J476" s="775" t="s">
        <v>196</v>
      </c>
      <c r="K476" s="776"/>
    </row>
    <row r="477" spans="1:11" ht="33" customHeight="1" x14ac:dyDescent="0.2">
      <c r="A477" s="275" t="s">
        <v>1244</v>
      </c>
      <c r="B477" s="275" t="s">
        <v>4095</v>
      </c>
      <c r="C477" s="276" t="s">
        <v>1772</v>
      </c>
      <c r="D477" s="275" t="s">
        <v>1246</v>
      </c>
      <c r="E477" s="275" t="s">
        <v>553</v>
      </c>
      <c r="F477" s="275" t="s">
        <v>1379</v>
      </c>
      <c r="G477" s="277" t="s">
        <v>77</v>
      </c>
      <c r="H477" s="276">
        <v>1</v>
      </c>
      <c r="I477" s="276" t="s">
        <v>1773</v>
      </c>
      <c r="J477" s="777" t="s">
        <v>1773</v>
      </c>
      <c r="K477" s="778"/>
    </row>
    <row r="478" spans="1:11" ht="21.95" customHeight="1" x14ac:dyDescent="0.2">
      <c r="A478" s="278" t="s">
        <v>1248</v>
      </c>
      <c r="B478" s="278"/>
      <c r="C478" s="279" t="s">
        <v>1774</v>
      </c>
      <c r="D478" s="278" t="s">
        <v>1250</v>
      </c>
      <c r="E478" s="278" t="s">
        <v>1775</v>
      </c>
      <c r="F478" s="278" t="s">
        <v>1252</v>
      </c>
      <c r="G478" s="280" t="s">
        <v>1253</v>
      </c>
      <c r="H478" s="279" t="s">
        <v>1776</v>
      </c>
      <c r="I478" s="279" t="s">
        <v>1777</v>
      </c>
      <c r="J478" s="781">
        <v>78.239999999999995</v>
      </c>
      <c r="K478" s="782"/>
    </row>
    <row r="479" spans="1:11" ht="21.95" customHeight="1" x14ac:dyDescent="0.2">
      <c r="A479" s="278" t="s">
        <v>1248</v>
      </c>
      <c r="B479" s="278"/>
      <c r="C479" s="279" t="s">
        <v>1273</v>
      </c>
      <c r="D479" s="278" t="s">
        <v>1250</v>
      </c>
      <c r="E479" s="278" t="s">
        <v>1274</v>
      </c>
      <c r="F479" s="278" t="s">
        <v>1252</v>
      </c>
      <c r="G479" s="280" t="s">
        <v>1253</v>
      </c>
      <c r="H479" s="279" t="s">
        <v>1778</v>
      </c>
      <c r="I479" s="279" t="s">
        <v>1275</v>
      </c>
      <c r="J479" s="781">
        <v>31.94</v>
      </c>
      <c r="K479" s="782"/>
    </row>
    <row r="480" spans="1:11" ht="21.95" customHeight="1" x14ac:dyDescent="0.2">
      <c r="A480" s="278" t="s">
        <v>1248</v>
      </c>
      <c r="B480" s="278"/>
      <c r="C480" s="279" t="s">
        <v>1779</v>
      </c>
      <c r="D480" s="278" t="s">
        <v>1250</v>
      </c>
      <c r="E480" s="278" t="s">
        <v>1780</v>
      </c>
      <c r="F480" s="278" t="s">
        <v>1252</v>
      </c>
      <c r="G480" s="280" t="s">
        <v>153</v>
      </c>
      <c r="H480" s="279" t="s">
        <v>1781</v>
      </c>
      <c r="I480" s="279" t="s">
        <v>1782</v>
      </c>
      <c r="J480" s="781">
        <v>1.18</v>
      </c>
      <c r="K480" s="782"/>
    </row>
    <row r="481" spans="1:11" ht="21.95" customHeight="1" x14ac:dyDescent="0.2">
      <c r="A481" s="282" t="s">
        <v>1276</v>
      </c>
      <c r="B481" s="282"/>
      <c r="C481" s="283" t="s">
        <v>1783</v>
      </c>
      <c r="D481" s="282" t="s">
        <v>1250</v>
      </c>
      <c r="E481" s="282" t="s">
        <v>1784</v>
      </c>
      <c r="F481" s="282" t="s">
        <v>1278</v>
      </c>
      <c r="G481" s="284" t="s">
        <v>71</v>
      </c>
      <c r="H481" s="283" t="s">
        <v>1343</v>
      </c>
      <c r="I481" s="283" t="s">
        <v>1785</v>
      </c>
      <c r="J481" s="779">
        <v>1.94</v>
      </c>
      <c r="K481" s="780"/>
    </row>
    <row r="482" spans="1:11" ht="21.95" customHeight="1" thickBot="1" x14ac:dyDescent="0.25">
      <c r="A482" s="282" t="s">
        <v>1276</v>
      </c>
      <c r="B482" s="282"/>
      <c r="C482" s="283" t="s">
        <v>1786</v>
      </c>
      <c r="D482" s="282" t="s">
        <v>1246</v>
      </c>
      <c r="E482" s="282" t="s">
        <v>795</v>
      </c>
      <c r="F482" s="282" t="s">
        <v>1278</v>
      </c>
      <c r="G482" s="284" t="s">
        <v>77</v>
      </c>
      <c r="H482" s="283" t="s">
        <v>1262</v>
      </c>
      <c r="I482" s="283" t="s">
        <v>1758</v>
      </c>
      <c r="J482" s="770">
        <v>455</v>
      </c>
      <c r="K482" s="771"/>
    </row>
    <row r="483" spans="1:11" ht="0.95" customHeight="1" thickTop="1" x14ac:dyDescent="0.2">
      <c r="A483" s="281"/>
      <c r="B483" s="281"/>
      <c r="C483" s="281"/>
      <c r="D483" s="281"/>
      <c r="E483" s="281"/>
      <c r="F483" s="281"/>
      <c r="G483" s="281"/>
      <c r="H483" s="281"/>
      <c r="I483" s="281"/>
      <c r="J483" s="421"/>
      <c r="K483" s="421"/>
    </row>
    <row r="484" spans="1:11" ht="18" customHeight="1" x14ac:dyDescent="0.2">
      <c r="A484" s="272"/>
      <c r="B484" s="272" t="s">
        <v>54</v>
      </c>
      <c r="C484" s="273" t="s">
        <v>1239</v>
      </c>
      <c r="D484" s="272" t="s">
        <v>1240</v>
      </c>
      <c r="E484" s="272" t="s">
        <v>1241</v>
      </c>
      <c r="F484" s="272" t="s">
        <v>1242</v>
      </c>
      <c r="G484" s="274" t="s">
        <v>60</v>
      </c>
      <c r="H484" s="273" t="s">
        <v>58</v>
      </c>
      <c r="I484" s="273" t="s">
        <v>1243</v>
      </c>
      <c r="J484" s="775" t="s">
        <v>196</v>
      </c>
      <c r="K484" s="776"/>
    </row>
    <row r="485" spans="1:11" ht="21.95" customHeight="1" x14ac:dyDescent="0.2">
      <c r="A485" s="275" t="s">
        <v>1244</v>
      </c>
      <c r="B485" s="275" t="s">
        <v>4096</v>
      </c>
      <c r="C485" s="276" t="s">
        <v>1543</v>
      </c>
      <c r="D485" s="275" t="s">
        <v>1246</v>
      </c>
      <c r="E485" s="275" t="s">
        <v>519</v>
      </c>
      <c r="F485" s="275" t="s">
        <v>1395</v>
      </c>
      <c r="G485" s="277" t="s">
        <v>77</v>
      </c>
      <c r="H485" s="276">
        <v>1</v>
      </c>
      <c r="I485" s="276" t="s">
        <v>1544</v>
      </c>
      <c r="J485" s="777" t="s">
        <v>1544</v>
      </c>
      <c r="K485" s="778"/>
    </row>
    <row r="486" spans="1:11" ht="21.95" customHeight="1" x14ac:dyDescent="0.2">
      <c r="A486" s="278" t="s">
        <v>1248</v>
      </c>
      <c r="B486" s="278"/>
      <c r="C486" s="279" t="s">
        <v>1448</v>
      </c>
      <c r="D486" s="278" t="s">
        <v>1250</v>
      </c>
      <c r="E486" s="278" t="s">
        <v>1449</v>
      </c>
      <c r="F486" s="278" t="s">
        <v>1252</v>
      </c>
      <c r="G486" s="280" t="s">
        <v>1253</v>
      </c>
      <c r="H486" s="279" t="s">
        <v>1486</v>
      </c>
      <c r="I486" s="279" t="s">
        <v>1451</v>
      </c>
      <c r="J486" s="781">
        <v>5.96</v>
      </c>
      <c r="K486" s="782"/>
    </row>
    <row r="487" spans="1:11" ht="21.95" customHeight="1" x14ac:dyDescent="0.2">
      <c r="A487" s="278" t="s">
        <v>1248</v>
      </c>
      <c r="B487" s="278"/>
      <c r="C487" s="279" t="s">
        <v>1273</v>
      </c>
      <c r="D487" s="278" t="s">
        <v>1250</v>
      </c>
      <c r="E487" s="278" t="s">
        <v>1274</v>
      </c>
      <c r="F487" s="278" t="s">
        <v>1252</v>
      </c>
      <c r="G487" s="280" t="s">
        <v>1253</v>
      </c>
      <c r="H487" s="279" t="s">
        <v>1341</v>
      </c>
      <c r="I487" s="279" t="s">
        <v>1275</v>
      </c>
      <c r="J487" s="781">
        <v>3.47</v>
      </c>
      <c r="K487" s="782"/>
    </row>
    <row r="488" spans="1:11" ht="21.95" customHeight="1" x14ac:dyDescent="0.2">
      <c r="A488" s="282" t="s">
        <v>1276</v>
      </c>
      <c r="B488" s="282"/>
      <c r="C488" s="283" t="s">
        <v>1541</v>
      </c>
      <c r="D488" s="282" t="s">
        <v>1250</v>
      </c>
      <c r="E488" s="282" t="s">
        <v>1542</v>
      </c>
      <c r="F488" s="282" t="s">
        <v>1278</v>
      </c>
      <c r="G488" s="284" t="s">
        <v>52</v>
      </c>
      <c r="H488" s="283" t="s">
        <v>1356</v>
      </c>
      <c r="I488" s="283" t="s">
        <v>1529</v>
      </c>
      <c r="J488" s="779">
        <v>0.19</v>
      </c>
      <c r="K488" s="780"/>
    </row>
    <row r="489" spans="1:11" ht="21.95" customHeight="1" thickBot="1" x14ac:dyDescent="0.25">
      <c r="A489" s="282" t="s">
        <v>1276</v>
      </c>
      <c r="B489" s="282"/>
      <c r="C489" s="283" t="s">
        <v>1545</v>
      </c>
      <c r="D489" s="282" t="s">
        <v>1250</v>
      </c>
      <c r="E489" s="282" t="s">
        <v>1546</v>
      </c>
      <c r="F489" s="282" t="s">
        <v>1278</v>
      </c>
      <c r="G489" s="284" t="s">
        <v>1547</v>
      </c>
      <c r="H489" s="283" t="s">
        <v>1548</v>
      </c>
      <c r="I489" s="283" t="s">
        <v>1549</v>
      </c>
      <c r="J489" s="770">
        <v>3.26</v>
      </c>
      <c r="K489" s="771"/>
    </row>
    <row r="490" spans="1:11" ht="0.95" customHeight="1" thickTop="1" x14ac:dyDescent="0.2">
      <c r="A490" s="281"/>
      <c r="B490" s="281"/>
      <c r="C490" s="281"/>
      <c r="D490" s="281"/>
      <c r="E490" s="281"/>
      <c r="F490" s="281"/>
      <c r="G490" s="281"/>
      <c r="H490" s="281"/>
      <c r="I490" s="281"/>
      <c r="J490" s="421"/>
      <c r="K490" s="421"/>
    </row>
    <row r="491" spans="1:11" ht="18" customHeight="1" x14ac:dyDescent="0.2">
      <c r="A491" s="272"/>
      <c r="B491" s="272" t="s">
        <v>54</v>
      </c>
      <c r="C491" s="273" t="s">
        <v>1239</v>
      </c>
      <c r="D491" s="272" t="s">
        <v>1240</v>
      </c>
      <c r="E491" s="272" t="s">
        <v>1241</v>
      </c>
      <c r="F491" s="272" t="s">
        <v>1242</v>
      </c>
      <c r="G491" s="274" t="s">
        <v>60</v>
      </c>
      <c r="H491" s="273" t="s">
        <v>58</v>
      </c>
      <c r="I491" s="273" t="s">
        <v>1243</v>
      </c>
      <c r="J491" s="775" t="s">
        <v>196</v>
      </c>
      <c r="K491" s="776"/>
    </row>
    <row r="492" spans="1:11" ht="21.95" customHeight="1" x14ac:dyDescent="0.2">
      <c r="A492" s="275" t="s">
        <v>1244</v>
      </c>
      <c r="B492" s="275" t="s">
        <v>4097</v>
      </c>
      <c r="C492" s="276" t="s">
        <v>3991</v>
      </c>
      <c r="D492" s="275" t="s">
        <v>1246</v>
      </c>
      <c r="E492" s="275" t="s">
        <v>2765</v>
      </c>
      <c r="F492" s="275" t="s">
        <v>1395</v>
      </c>
      <c r="G492" s="277" t="s">
        <v>77</v>
      </c>
      <c r="H492" s="276">
        <v>1</v>
      </c>
      <c r="I492" s="276" t="s">
        <v>3992</v>
      </c>
      <c r="J492" s="777" t="s">
        <v>3992</v>
      </c>
      <c r="K492" s="778"/>
    </row>
    <row r="493" spans="1:11" ht="21.95" customHeight="1" x14ac:dyDescent="0.2">
      <c r="A493" s="278" t="s">
        <v>1248</v>
      </c>
      <c r="B493" s="278"/>
      <c r="C493" s="279" t="s">
        <v>1448</v>
      </c>
      <c r="D493" s="278" t="s">
        <v>1250</v>
      </c>
      <c r="E493" s="278" t="s">
        <v>1449</v>
      </c>
      <c r="F493" s="278" t="s">
        <v>1252</v>
      </c>
      <c r="G493" s="280" t="s">
        <v>1253</v>
      </c>
      <c r="H493" s="279" t="s">
        <v>1619</v>
      </c>
      <c r="I493" s="279" t="s">
        <v>1451</v>
      </c>
      <c r="J493" s="781">
        <v>3.4</v>
      </c>
      <c r="K493" s="782"/>
    </row>
    <row r="494" spans="1:11" ht="21.95" customHeight="1" x14ac:dyDescent="0.2">
      <c r="A494" s="278" t="s">
        <v>1248</v>
      </c>
      <c r="B494" s="278"/>
      <c r="C494" s="279" t="s">
        <v>1702</v>
      </c>
      <c r="D494" s="278" t="s">
        <v>1250</v>
      </c>
      <c r="E494" s="278" t="s">
        <v>1703</v>
      </c>
      <c r="F494" s="278" t="s">
        <v>1252</v>
      </c>
      <c r="G494" s="280" t="s">
        <v>1253</v>
      </c>
      <c r="H494" s="279" t="s">
        <v>1636</v>
      </c>
      <c r="I494" s="279" t="s">
        <v>1704</v>
      </c>
      <c r="J494" s="781">
        <v>2.63</v>
      </c>
      <c r="K494" s="782"/>
    </row>
    <row r="495" spans="1:11" ht="21.95" customHeight="1" x14ac:dyDescent="0.2">
      <c r="A495" s="282" t="s">
        <v>1276</v>
      </c>
      <c r="B495" s="282"/>
      <c r="C495" s="283" t="s">
        <v>1541</v>
      </c>
      <c r="D495" s="282" t="s">
        <v>1250</v>
      </c>
      <c r="E495" s="282" t="s">
        <v>1542</v>
      </c>
      <c r="F495" s="282" t="s">
        <v>1278</v>
      </c>
      <c r="G495" s="284" t="s">
        <v>52</v>
      </c>
      <c r="H495" s="283" t="s">
        <v>1262</v>
      </c>
      <c r="I495" s="283" t="s">
        <v>1529</v>
      </c>
      <c r="J495" s="779">
        <v>0.65</v>
      </c>
      <c r="K495" s="780"/>
    </row>
    <row r="496" spans="1:11" ht="21.95" customHeight="1" thickBot="1" x14ac:dyDescent="0.25">
      <c r="A496" s="282" t="s">
        <v>1276</v>
      </c>
      <c r="B496" s="282"/>
      <c r="C496" s="283" t="s">
        <v>3993</v>
      </c>
      <c r="D496" s="282" t="s">
        <v>1250</v>
      </c>
      <c r="E496" s="282" t="s">
        <v>3994</v>
      </c>
      <c r="F496" s="282" t="s">
        <v>1278</v>
      </c>
      <c r="G496" s="284" t="s">
        <v>749</v>
      </c>
      <c r="H496" s="283" t="s">
        <v>1393</v>
      </c>
      <c r="I496" s="283" t="s">
        <v>3995</v>
      </c>
      <c r="J496" s="770">
        <v>5.25</v>
      </c>
      <c r="K496" s="771"/>
    </row>
    <row r="497" spans="1:11" ht="0.95" customHeight="1" thickTop="1" x14ac:dyDescent="0.2">
      <c r="A497" s="281"/>
      <c r="B497" s="281"/>
      <c r="C497" s="281"/>
      <c r="D497" s="281"/>
      <c r="E497" s="281"/>
      <c r="F497" s="281"/>
      <c r="G497" s="281"/>
      <c r="H497" s="281"/>
      <c r="I497" s="281"/>
      <c r="J497" s="421"/>
      <c r="K497" s="421"/>
    </row>
    <row r="498" spans="1:11" ht="18" customHeight="1" x14ac:dyDescent="0.2">
      <c r="A498" s="272"/>
      <c r="B498" s="272" t="s">
        <v>54</v>
      </c>
      <c r="C498" s="273" t="s">
        <v>1239</v>
      </c>
      <c r="D498" s="272" t="s">
        <v>1240</v>
      </c>
      <c r="E498" s="272" t="s">
        <v>1241</v>
      </c>
      <c r="F498" s="272" t="s">
        <v>1242</v>
      </c>
      <c r="G498" s="274" t="s">
        <v>60</v>
      </c>
      <c r="H498" s="273" t="s">
        <v>58</v>
      </c>
      <c r="I498" s="273" t="s">
        <v>1243</v>
      </c>
      <c r="J498" s="775" t="s">
        <v>196</v>
      </c>
      <c r="K498" s="776"/>
    </row>
    <row r="499" spans="1:11" ht="33" customHeight="1" x14ac:dyDescent="0.2">
      <c r="A499" s="275" t="s">
        <v>1244</v>
      </c>
      <c r="B499" s="275" t="s">
        <v>4098</v>
      </c>
      <c r="C499" s="276" t="s">
        <v>4099</v>
      </c>
      <c r="D499" s="275" t="s">
        <v>1246</v>
      </c>
      <c r="E499" s="275" t="s">
        <v>2964</v>
      </c>
      <c r="F499" s="275" t="s">
        <v>1395</v>
      </c>
      <c r="G499" s="277" t="s">
        <v>77</v>
      </c>
      <c r="H499" s="276">
        <v>1</v>
      </c>
      <c r="I499" s="276" t="s">
        <v>4100</v>
      </c>
      <c r="J499" s="777" t="s">
        <v>4100</v>
      </c>
      <c r="K499" s="778"/>
    </row>
    <row r="500" spans="1:11" ht="21.95" customHeight="1" x14ac:dyDescent="0.2">
      <c r="A500" s="278" t="s">
        <v>1248</v>
      </c>
      <c r="B500" s="278"/>
      <c r="C500" s="279" t="s">
        <v>1448</v>
      </c>
      <c r="D500" s="278" t="s">
        <v>1250</v>
      </c>
      <c r="E500" s="278" t="s">
        <v>1449</v>
      </c>
      <c r="F500" s="278" t="s">
        <v>1252</v>
      </c>
      <c r="G500" s="280" t="s">
        <v>1253</v>
      </c>
      <c r="H500" s="279" t="s">
        <v>1346</v>
      </c>
      <c r="I500" s="279" t="s">
        <v>1451</v>
      </c>
      <c r="J500" s="781">
        <v>6.81</v>
      </c>
      <c r="K500" s="782"/>
    </row>
    <row r="501" spans="1:11" ht="21.95" customHeight="1" x14ac:dyDescent="0.2">
      <c r="A501" s="278" t="s">
        <v>1248</v>
      </c>
      <c r="B501" s="278"/>
      <c r="C501" s="279" t="s">
        <v>1273</v>
      </c>
      <c r="D501" s="278" t="s">
        <v>1250</v>
      </c>
      <c r="E501" s="278" t="s">
        <v>1274</v>
      </c>
      <c r="F501" s="278" t="s">
        <v>1252</v>
      </c>
      <c r="G501" s="280" t="s">
        <v>1253</v>
      </c>
      <c r="H501" s="279" t="s">
        <v>1619</v>
      </c>
      <c r="I501" s="279" t="s">
        <v>1275</v>
      </c>
      <c r="J501" s="781">
        <v>2.77</v>
      </c>
      <c r="K501" s="782"/>
    </row>
    <row r="502" spans="1:11" ht="21.95" customHeight="1" thickBot="1" x14ac:dyDescent="0.25">
      <c r="A502" s="282" t="s">
        <v>1276</v>
      </c>
      <c r="B502" s="282"/>
      <c r="C502" s="283" t="s">
        <v>1635</v>
      </c>
      <c r="D502" s="282" t="s">
        <v>1246</v>
      </c>
      <c r="E502" s="282" t="s">
        <v>781</v>
      </c>
      <c r="F502" s="282" t="s">
        <v>1278</v>
      </c>
      <c r="G502" s="284" t="s">
        <v>749</v>
      </c>
      <c r="H502" s="283" t="s">
        <v>1636</v>
      </c>
      <c r="I502" s="283" t="s">
        <v>1637</v>
      </c>
      <c r="J502" s="770">
        <v>6.68</v>
      </c>
      <c r="K502" s="771"/>
    </row>
    <row r="503" spans="1:11" ht="0.95" customHeight="1" thickTop="1" x14ac:dyDescent="0.2">
      <c r="A503" s="281"/>
      <c r="B503" s="281"/>
      <c r="C503" s="281"/>
      <c r="D503" s="281"/>
      <c r="E503" s="281"/>
      <c r="F503" s="281"/>
      <c r="G503" s="281"/>
      <c r="H503" s="281"/>
      <c r="I503" s="281"/>
      <c r="J503" s="421"/>
      <c r="K503" s="421"/>
    </row>
    <row r="504" spans="1:11" ht="18" customHeight="1" x14ac:dyDescent="0.2">
      <c r="A504" s="272"/>
      <c r="B504" s="272" t="s">
        <v>54</v>
      </c>
      <c r="C504" s="273" t="s">
        <v>1239</v>
      </c>
      <c r="D504" s="272" t="s">
        <v>1240</v>
      </c>
      <c r="E504" s="272" t="s">
        <v>1241</v>
      </c>
      <c r="F504" s="272" t="s">
        <v>1242</v>
      </c>
      <c r="G504" s="274" t="s">
        <v>60</v>
      </c>
      <c r="H504" s="273" t="s">
        <v>58</v>
      </c>
      <c r="I504" s="273" t="s">
        <v>1243</v>
      </c>
      <c r="J504" s="775" t="s">
        <v>196</v>
      </c>
      <c r="K504" s="776"/>
    </row>
    <row r="505" spans="1:11" ht="33" customHeight="1" x14ac:dyDescent="0.2">
      <c r="A505" s="275" t="s">
        <v>1244</v>
      </c>
      <c r="B505" s="275" t="s">
        <v>4101</v>
      </c>
      <c r="C505" s="276" t="s">
        <v>4102</v>
      </c>
      <c r="D505" s="275" t="s">
        <v>1246</v>
      </c>
      <c r="E505" s="275" t="s">
        <v>2966</v>
      </c>
      <c r="F505" s="275" t="s">
        <v>1395</v>
      </c>
      <c r="G505" s="277" t="s">
        <v>77</v>
      </c>
      <c r="H505" s="276">
        <v>1</v>
      </c>
      <c r="I505" s="276" t="s">
        <v>4103</v>
      </c>
      <c r="J505" s="777" t="s">
        <v>4103</v>
      </c>
      <c r="K505" s="778"/>
    </row>
    <row r="506" spans="1:11" ht="21.95" customHeight="1" x14ac:dyDescent="0.2">
      <c r="A506" s="278" t="s">
        <v>1248</v>
      </c>
      <c r="B506" s="278"/>
      <c r="C506" s="279" t="s">
        <v>1448</v>
      </c>
      <c r="D506" s="278" t="s">
        <v>1250</v>
      </c>
      <c r="E506" s="278" t="s">
        <v>1449</v>
      </c>
      <c r="F506" s="278" t="s">
        <v>1252</v>
      </c>
      <c r="G506" s="280" t="s">
        <v>1253</v>
      </c>
      <c r="H506" s="279" t="s">
        <v>1346</v>
      </c>
      <c r="I506" s="279" t="s">
        <v>1451</v>
      </c>
      <c r="J506" s="781">
        <v>6.81</v>
      </c>
      <c r="K506" s="782"/>
    </row>
    <row r="507" spans="1:11" ht="21.95" customHeight="1" x14ac:dyDescent="0.2">
      <c r="A507" s="278" t="s">
        <v>1248</v>
      </c>
      <c r="B507" s="278"/>
      <c r="C507" s="279" t="s">
        <v>1273</v>
      </c>
      <c r="D507" s="278" t="s">
        <v>1250</v>
      </c>
      <c r="E507" s="278" t="s">
        <v>1274</v>
      </c>
      <c r="F507" s="278" t="s">
        <v>1252</v>
      </c>
      <c r="G507" s="280" t="s">
        <v>1253</v>
      </c>
      <c r="H507" s="279" t="s">
        <v>1619</v>
      </c>
      <c r="I507" s="279" t="s">
        <v>1275</v>
      </c>
      <c r="J507" s="781">
        <v>2.77</v>
      </c>
      <c r="K507" s="782"/>
    </row>
    <row r="508" spans="1:11" ht="21.95" customHeight="1" thickBot="1" x14ac:dyDescent="0.25">
      <c r="A508" s="282" t="s">
        <v>1276</v>
      </c>
      <c r="B508" s="282"/>
      <c r="C508" s="283" t="s">
        <v>4104</v>
      </c>
      <c r="D508" s="282" t="s">
        <v>1246</v>
      </c>
      <c r="E508" s="282" t="s">
        <v>3799</v>
      </c>
      <c r="F508" s="282" t="s">
        <v>1278</v>
      </c>
      <c r="G508" s="284" t="s">
        <v>749</v>
      </c>
      <c r="H508" s="283" t="s">
        <v>1636</v>
      </c>
      <c r="I508" s="283" t="s">
        <v>4105</v>
      </c>
      <c r="J508" s="770">
        <v>8.15</v>
      </c>
      <c r="K508" s="771"/>
    </row>
    <row r="509" spans="1:11" ht="0.95" customHeight="1" thickTop="1" x14ac:dyDescent="0.2">
      <c r="A509" s="281"/>
      <c r="B509" s="281"/>
      <c r="C509" s="281"/>
      <c r="D509" s="281"/>
      <c r="E509" s="281"/>
      <c r="F509" s="281"/>
      <c r="G509" s="281"/>
      <c r="H509" s="281"/>
      <c r="I509" s="281"/>
      <c r="J509" s="421"/>
      <c r="K509" s="421"/>
    </row>
    <row r="510" spans="1:11" ht="18" customHeight="1" x14ac:dyDescent="0.2">
      <c r="A510" s="272"/>
      <c r="B510" s="272" t="s">
        <v>54</v>
      </c>
      <c r="C510" s="273" t="s">
        <v>1239</v>
      </c>
      <c r="D510" s="272" t="s">
        <v>1240</v>
      </c>
      <c r="E510" s="272" t="s">
        <v>1241</v>
      </c>
      <c r="F510" s="272" t="s">
        <v>1242</v>
      </c>
      <c r="G510" s="274" t="s">
        <v>60</v>
      </c>
      <c r="H510" s="273" t="s">
        <v>58</v>
      </c>
      <c r="I510" s="273" t="s">
        <v>1243</v>
      </c>
      <c r="J510" s="775" t="s">
        <v>196</v>
      </c>
      <c r="K510" s="776"/>
    </row>
    <row r="511" spans="1:11" ht="21.95" customHeight="1" x14ac:dyDescent="0.2">
      <c r="A511" s="275" t="s">
        <v>1244</v>
      </c>
      <c r="B511" s="275" t="s">
        <v>4106</v>
      </c>
      <c r="C511" s="276" t="s">
        <v>1749</v>
      </c>
      <c r="D511" s="275" t="s">
        <v>1246</v>
      </c>
      <c r="E511" s="275" t="s">
        <v>545</v>
      </c>
      <c r="F511" s="275" t="s">
        <v>1750</v>
      </c>
      <c r="G511" s="277" t="s">
        <v>77</v>
      </c>
      <c r="H511" s="276">
        <v>1</v>
      </c>
      <c r="I511" s="276" t="s">
        <v>1751</v>
      </c>
      <c r="J511" s="777" t="s">
        <v>1751</v>
      </c>
      <c r="K511" s="778"/>
    </row>
    <row r="512" spans="1:11" ht="21.95" customHeight="1" x14ac:dyDescent="0.2">
      <c r="A512" s="278" t="s">
        <v>1248</v>
      </c>
      <c r="B512" s="278"/>
      <c r="C512" s="279" t="s">
        <v>1269</v>
      </c>
      <c r="D512" s="278" t="s">
        <v>1250</v>
      </c>
      <c r="E512" s="278" t="s">
        <v>1270</v>
      </c>
      <c r="F512" s="278" t="s">
        <v>1252</v>
      </c>
      <c r="G512" s="280" t="s">
        <v>1253</v>
      </c>
      <c r="H512" s="279" t="s">
        <v>1529</v>
      </c>
      <c r="I512" s="279" t="s">
        <v>1272</v>
      </c>
      <c r="J512" s="781">
        <v>11.1</v>
      </c>
      <c r="K512" s="782"/>
    </row>
    <row r="513" spans="1:11" ht="21.95" customHeight="1" x14ac:dyDescent="0.2">
      <c r="A513" s="278" t="s">
        <v>1248</v>
      </c>
      <c r="B513" s="278"/>
      <c r="C513" s="279" t="s">
        <v>1273</v>
      </c>
      <c r="D513" s="278" t="s">
        <v>1250</v>
      </c>
      <c r="E513" s="278" t="s">
        <v>1274</v>
      </c>
      <c r="F513" s="278" t="s">
        <v>1252</v>
      </c>
      <c r="G513" s="280" t="s">
        <v>1253</v>
      </c>
      <c r="H513" s="279" t="s">
        <v>1752</v>
      </c>
      <c r="I513" s="279" t="s">
        <v>1275</v>
      </c>
      <c r="J513" s="781">
        <v>15.83</v>
      </c>
      <c r="K513" s="782"/>
    </row>
    <row r="514" spans="1:11" ht="21.95" customHeight="1" x14ac:dyDescent="0.2">
      <c r="A514" s="282" t="s">
        <v>1276</v>
      </c>
      <c r="B514" s="282"/>
      <c r="C514" s="283" t="s">
        <v>1753</v>
      </c>
      <c r="D514" s="282" t="s">
        <v>1250</v>
      </c>
      <c r="E514" s="282" t="s">
        <v>1754</v>
      </c>
      <c r="F514" s="282" t="s">
        <v>1278</v>
      </c>
      <c r="G514" s="284" t="s">
        <v>71</v>
      </c>
      <c r="H514" s="283" t="s">
        <v>1755</v>
      </c>
      <c r="I514" s="283" t="s">
        <v>1756</v>
      </c>
      <c r="J514" s="779">
        <v>8.35</v>
      </c>
      <c r="K514" s="780"/>
    </row>
    <row r="515" spans="1:11" ht="21.95" customHeight="1" thickBot="1" x14ac:dyDescent="0.25">
      <c r="A515" s="282" t="s">
        <v>1276</v>
      </c>
      <c r="B515" s="282"/>
      <c r="C515" s="283" t="s">
        <v>1757</v>
      </c>
      <c r="D515" s="282" t="s">
        <v>1246</v>
      </c>
      <c r="E515" s="282" t="s">
        <v>1000</v>
      </c>
      <c r="F515" s="282" t="s">
        <v>1278</v>
      </c>
      <c r="G515" s="284" t="s">
        <v>77</v>
      </c>
      <c r="H515" s="283" t="s">
        <v>1262</v>
      </c>
      <c r="I515" s="283" t="s">
        <v>1758</v>
      </c>
      <c r="J515" s="770">
        <v>455</v>
      </c>
      <c r="K515" s="771"/>
    </row>
    <row r="516" spans="1:11" ht="0.95" customHeight="1" thickTop="1" x14ac:dyDescent="0.2">
      <c r="A516" s="281"/>
      <c r="B516" s="281"/>
      <c r="C516" s="281"/>
      <c r="D516" s="281"/>
      <c r="E516" s="281"/>
      <c r="F516" s="281"/>
      <c r="G516" s="281"/>
      <c r="H516" s="281"/>
      <c r="I516" s="281"/>
      <c r="J516" s="421"/>
      <c r="K516" s="421"/>
    </row>
    <row r="517" spans="1:11" ht="18" customHeight="1" x14ac:dyDescent="0.2">
      <c r="A517" s="272"/>
      <c r="B517" s="272" t="s">
        <v>54</v>
      </c>
      <c r="C517" s="273" t="s">
        <v>1239</v>
      </c>
      <c r="D517" s="272" t="s">
        <v>1240</v>
      </c>
      <c r="E517" s="272" t="s">
        <v>1241</v>
      </c>
      <c r="F517" s="272" t="s">
        <v>1242</v>
      </c>
      <c r="G517" s="274" t="s">
        <v>60</v>
      </c>
      <c r="H517" s="273" t="s">
        <v>58</v>
      </c>
      <c r="I517" s="273" t="s">
        <v>1243</v>
      </c>
      <c r="J517" s="775" t="s">
        <v>196</v>
      </c>
      <c r="K517" s="776"/>
    </row>
    <row r="518" spans="1:11" ht="21.95" customHeight="1" x14ac:dyDescent="0.2">
      <c r="A518" s="275" t="s">
        <v>1244</v>
      </c>
      <c r="B518" s="275" t="s">
        <v>4107</v>
      </c>
      <c r="C518" s="276" t="s">
        <v>1759</v>
      </c>
      <c r="D518" s="275" t="s">
        <v>1246</v>
      </c>
      <c r="E518" s="275" t="s">
        <v>548</v>
      </c>
      <c r="F518" s="275" t="s">
        <v>1252</v>
      </c>
      <c r="G518" s="277" t="s">
        <v>52</v>
      </c>
      <c r="H518" s="276">
        <v>1</v>
      </c>
      <c r="I518" s="276" t="s">
        <v>1760</v>
      </c>
      <c r="J518" s="777" t="s">
        <v>1760</v>
      </c>
      <c r="K518" s="778"/>
    </row>
    <row r="519" spans="1:11" ht="21.95" customHeight="1" x14ac:dyDescent="0.2">
      <c r="A519" s="278" t="s">
        <v>1248</v>
      </c>
      <c r="B519" s="278"/>
      <c r="C519" s="279" t="s">
        <v>1269</v>
      </c>
      <c r="D519" s="278" t="s">
        <v>1250</v>
      </c>
      <c r="E519" s="278" t="s">
        <v>1270</v>
      </c>
      <c r="F519" s="278" t="s">
        <v>1252</v>
      </c>
      <c r="G519" s="280" t="s">
        <v>1253</v>
      </c>
      <c r="H519" s="279" t="s">
        <v>1262</v>
      </c>
      <c r="I519" s="279" t="s">
        <v>1272</v>
      </c>
      <c r="J519" s="781">
        <v>17.09</v>
      </c>
      <c r="K519" s="782"/>
    </row>
    <row r="520" spans="1:11" ht="21.95" customHeight="1" x14ac:dyDescent="0.2">
      <c r="A520" s="278" t="s">
        <v>1248</v>
      </c>
      <c r="B520" s="278"/>
      <c r="C520" s="279" t="s">
        <v>1273</v>
      </c>
      <c r="D520" s="278" t="s">
        <v>1250</v>
      </c>
      <c r="E520" s="278" t="s">
        <v>1274</v>
      </c>
      <c r="F520" s="278" t="s">
        <v>1252</v>
      </c>
      <c r="G520" s="280" t="s">
        <v>1253</v>
      </c>
      <c r="H520" s="279" t="s">
        <v>1262</v>
      </c>
      <c r="I520" s="279" t="s">
        <v>1275</v>
      </c>
      <c r="J520" s="781">
        <v>13.89</v>
      </c>
      <c r="K520" s="782"/>
    </row>
    <row r="521" spans="1:11" ht="21.95" customHeight="1" thickBot="1" x14ac:dyDescent="0.25">
      <c r="A521" s="282" t="s">
        <v>1276</v>
      </c>
      <c r="B521" s="282"/>
      <c r="C521" s="283" t="s">
        <v>1761</v>
      </c>
      <c r="D521" s="282" t="s">
        <v>1250</v>
      </c>
      <c r="E521" s="282" t="s">
        <v>1762</v>
      </c>
      <c r="F521" s="282" t="s">
        <v>1278</v>
      </c>
      <c r="G521" s="284" t="s">
        <v>52</v>
      </c>
      <c r="H521" s="283" t="s">
        <v>1262</v>
      </c>
      <c r="I521" s="283" t="s">
        <v>1763</v>
      </c>
      <c r="J521" s="770">
        <v>207.92</v>
      </c>
      <c r="K521" s="771"/>
    </row>
    <row r="522" spans="1:11" ht="0.95" customHeight="1" thickTop="1" x14ac:dyDescent="0.2">
      <c r="A522" s="281"/>
      <c r="B522" s="281"/>
      <c r="C522" s="281"/>
      <c r="D522" s="281"/>
      <c r="E522" s="281"/>
      <c r="F522" s="281"/>
      <c r="G522" s="281"/>
      <c r="H522" s="281"/>
      <c r="I522" s="281"/>
      <c r="J522" s="421"/>
      <c r="K522" s="421"/>
    </row>
    <row r="523" spans="1:11" ht="18" customHeight="1" x14ac:dyDescent="0.2">
      <c r="A523" s="272"/>
      <c r="B523" s="272" t="s">
        <v>54</v>
      </c>
      <c r="C523" s="273" t="s">
        <v>1239</v>
      </c>
      <c r="D523" s="272" t="s">
        <v>1240</v>
      </c>
      <c r="E523" s="272" t="s">
        <v>1241</v>
      </c>
      <c r="F523" s="272" t="s">
        <v>1242</v>
      </c>
      <c r="G523" s="274" t="s">
        <v>60</v>
      </c>
      <c r="H523" s="273" t="s">
        <v>58</v>
      </c>
      <c r="I523" s="273" t="s">
        <v>1243</v>
      </c>
      <c r="J523" s="775" t="s">
        <v>196</v>
      </c>
      <c r="K523" s="776"/>
    </row>
    <row r="524" spans="1:11" ht="21.95" customHeight="1" x14ac:dyDescent="0.2">
      <c r="A524" s="275" t="s">
        <v>1244</v>
      </c>
      <c r="B524" s="275" t="s">
        <v>4108</v>
      </c>
      <c r="C524" s="276" t="s">
        <v>1687</v>
      </c>
      <c r="D524" s="275" t="s">
        <v>1246</v>
      </c>
      <c r="E524" s="275" t="s">
        <v>542</v>
      </c>
      <c r="F524" s="275" t="s">
        <v>1252</v>
      </c>
      <c r="G524" s="277" t="s">
        <v>52</v>
      </c>
      <c r="H524" s="276">
        <v>1</v>
      </c>
      <c r="I524" s="276" t="s">
        <v>1688</v>
      </c>
      <c r="J524" s="777" t="s">
        <v>1688</v>
      </c>
      <c r="K524" s="778"/>
    </row>
    <row r="525" spans="1:11" ht="21.95" customHeight="1" x14ac:dyDescent="0.2">
      <c r="A525" s="278" t="s">
        <v>1248</v>
      </c>
      <c r="B525" s="278"/>
      <c r="C525" s="279" t="s">
        <v>1269</v>
      </c>
      <c r="D525" s="278" t="s">
        <v>1250</v>
      </c>
      <c r="E525" s="278" t="s">
        <v>1270</v>
      </c>
      <c r="F525" s="278" t="s">
        <v>1252</v>
      </c>
      <c r="G525" s="280" t="s">
        <v>1253</v>
      </c>
      <c r="H525" s="279" t="s">
        <v>1689</v>
      </c>
      <c r="I525" s="279" t="s">
        <v>1272</v>
      </c>
      <c r="J525" s="781">
        <v>8.5399999999999991</v>
      </c>
      <c r="K525" s="782"/>
    </row>
    <row r="526" spans="1:11" ht="21.95" customHeight="1" x14ac:dyDescent="0.2">
      <c r="A526" s="278" t="s">
        <v>1248</v>
      </c>
      <c r="B526" s="278"/>
      <c r="C526" s="279" t="s">
        <v>1273</v>
      </c>
      <c r="D526" s="278" t="s">
        <v>1250</v>
      </c>
      <c r="E526" s="278" t="s">
        <v>1274</v>
      </c>
      <c r="F526" s="278" t="s">
        <v>1252</v>
      </c>
      <c r="G526" s="280" t="s">
        <v>1253</v>
      </c>
      <c r="H526" s="279" t="s">
        <v>1689</v>
      </c>
      <c r="I526" s="279" t="s">
        <v>1275</v>
      </c>
      <c r="J526" s="781">
        <v>6.94</v>
      </c>
      <c r="K526" s="782"/>
    </row>
    <row r="527" spans="1:11" ht="21.95" customHeight="1" thickBot="1" x14ac:dyDescent="0.25">
      <c r="A527" s="282" t="s">
        <v>1276</v>
      </c>
      <c r="B527" s="282"/>
      <c r="C527" s="283" t="s">
        <v>1690</v>
      </c>
      <c r="D527" s="282" t="s">
        <v>1246</v>
      </c>
      <c r="E527" s="282" t="s">
        <v>973</v>
      </c>
      <c r="F527" s="282" t="s">
        <v>1278</v>
      </c>
      <c r="G527" s="284" t="s">
        <v>52</v>
      </c>
      <c r="H527" s="283" t="s">
        <v>1262</v>
      </c>
      <c r="I527" s="283" t="s">
        <v>1691</v>
      </c>
      <c r="J527" s="770">
        <v>129.94999999999999</v>
      </c>
      <c r="K527" s="771"/>
    </row>
    <row r="528" spans="1:11" ht="0.95" customHeight="1" thickTop="1" x14ac:dyDescent="0.2">
      <c r="A528" s="281"/>
      <c r="B528" s="281"/>
      <c r="C528" s="281"/>
      <c r="D528" s="281"/>
      <c r="E528" s="281"/>
      <c r="F528" s="281"/>
      <c r="G528" s="281"/>
      <c r="H528" s="281"/>
      <c r="I528" s="281"/>
      <c r="J528" s="421"/>
      <c r="K528" s="421"/>
    </row>
    <row r="529" spans="1:11" ht="18" customHeight="1" x14ac:dyDescent="0.2">
      <c r="A529" s="272"/>
      <c r="B529" s="272" t="s">
        <v>54</v>
      </c>
      <c r="C529" s="273" t="s">
        <v>1239</v>
      </c>
      <c r="D529" s="272" t="s">
        <v>1240</v>
      </c>
      <c r="E529" s="272" t="s">
        <v>1241</v>
      </c>
      <c r="F529" s="272" t="s">
        <v>1242</v>
      </c>
      <c r="G529" s="274" t="s">
        <v>60</v>
      </c>
      <c r="H529" s="273" t="s">
        <v>58</v>
      </c>
      <c r="I529" s="273" t="s">
        <v>1243</v>
      </c>
      <c r="J529" s="775" t="s">
        <v>196</v>
      </c>
      <c r="K529" s="776"/>
    </row>
    <row r="530" spans="1:11" ht="33" customHeight="1" x14ac:dyDescent="0.2">
      <c r="A530" s="275" t="s">
        <v>1244</v>
      </c>
      <c r="B530" s="275" t="s">
        <v>4109</v>
      </c>
      <c r="C530" s="276" t="s">
        <v>1768</v>
      </c>
      <c r="D530" s="275" t="s">
        <v>1246</v>
      </c>
      <c r="E530" s="275" t="s">
        <v>550</v>
      </c>
      <c r="F530" s="275" t="s">
        <v>1252</v>
      </c>
      <c r="G530" s="277" t="s">
        <v>52</v>
      </c>
      <c r="H530" s="276">
        <v>1</v>
      </c>
      <c r="I530" s="276" t="s">
        <v>1769</v>
      </c>
      <c r="J530" s="777" t="s">
        <v>1769</v>
      </c>
      <c r="K530" s="778"/>
    </row>
    <row r="531" spans="1:11" ht="21.95" customHeight="1" thickBot="1" x14ac:dyDescent="0.25">
      <c r="A531" s="282" t="s">
        <v>1276</v>
      </c>
      <c r="B531" s="282"/>
      <c r="C531" s="283" t="s">
        <v>1770</v>
      </c>
      <c r="D531" s="282" t="s">
        <v>1246</v>
      </c>
      <c r="E531" s="282" t="s">
        <v>1771</v>
      </c>
      <c r="F531" s="282" t="s">
        <v>1278</v>
      </c>
      <c r="G531" s="284" t="s">
        <v>52</v>
      </c>
      <c r="H531" s="283" t="s">
        <v>1262</v>
      </c>
      <c r="I531" s="283" t="s">
        <v>1769</v>
      </c>
      <c r="J531" s="770">
        <v>290</v>
      </c>
      <c r="K531" s="771"/>
    </row>
    <row r="532" spans="1:11" ht="0.95" customHeight="1" thickTop="1" x14ac:dyDescent="0.2">
      <c r="A532" s="281"/>
      <c r="B532" s="281"/>
      <c r="C532" s="281"/>
      <c r="D532" s="281"/>
      <c r="E532" s="281"/>
      <c r="F532" s="281"/>
      <c r="G532" s="281"/>
      <c r="H532" s="281"/>
      <c r="I532" s="281"/>
      <c r="J532" s="421"/>
      <c r="K532" s="421"/>
    </row>
    <row r="533" spans="1:11" ht="18" customHeight="1" x14ac:dyDescent="0.2">
      <c r="A533" s="272"/>
      <c r="B533" s="272" t="s">
        <v>54</v>
      </c>
      <c r="C533" s="273" t="s">
        <v>1239</v>
      </c>
      <c r="D533" s="272" t="s">
        <v>1240</v>
      </c>
      <c r="E533" s="272" t="s">
        <v>1241</v>
      </c>
      <c r="F533" s="272" t="s">
        <v>1242</v>
      </c>
      <c r="G533" s="274" t="s">
        <v>60</v>
      </c>
      <c r="H533" s="273" t="s">
        <v>58</v>
      </c>
      <c r="I533" s="273" t="s">
        <v>1243</v>
      </c>
      <c r="J533" s="775" t="s">
        <v>196</v>
      </c>
      <c r="K533" s="776"/>
    </row>
    <row r="534" spans="1:11" ht="33" customHeight="1" x14ac:dyDescent="0.2">
      <c r="A534" s="275" t="s">
        <v>1244</v>
      </c>
      <c r="B534" s="275" t="s">
        <v>4110</v>
      </c>
      <c r="C534" s="276" t="s">
        <v>1764</v>
      </c>
      <c r="D534" s="275" t="s">
        <v>1246</v>
      </c>
      <c r="E534" s="275" t="s">
        <v>416</v>
      </c>
      <c r="F534" s="275" t="s">
        <v>1252</v>
      </c>
      <c r="G534" s="277" t="s">
        <v>52</v>
      </c>
      <c r="H534" s="276">
        <v>1</v>
      </c>
      <c r="I534" s="276" t="s">
        <v>1765</v>
      </c>
      <c r="J534" s="777" t="s">
        <v>1765</v>
      </c>
      <c r="K534" s="778"/>
    </row>
    <row r="535" spans="1:11" ht="21.95" customHeight="1" thickBot="1" x14ac:dyDescent="0.25">
      <c r="A535" s="282" t="s">
        <v>1276</v>
      </c>
      <c r="B535" s="282"/>
      <c r="C535" s="283" t="s">
        <v>1766</v>
      </c>
      <c r="D535" s="282" t="s">
        <v>1246</v>
      </c>
      <c r="E535" s="282" t="s">
        <v>1767</v>
      </c>
      <c r="F535" s="282" t="s">
        <v>1278</v>
      </c>
      <c r="G535" s="284" t="s">
        <v>52</v>
      </c>
      <c r="H535" s="283" t="s">
        <v>1262</v>
      </c>
      <c r="I535" s="283" t="s">
        <v>1765</v>
      </c>
      <c r="J535" s="770">
        <v>180</v>
      </c>
      <c r="K535" s="771"/>
    </row>
    <row r="536" spans="1:11" ht="0.95" customHeight="1" thickTop="1" x14ac:dyDescent="0.2">
      <c r="A536" s="281"/>
      <c r="B536" s="281"/>
      <c r="C536" s="281"/>
      <c r="D536" s="281"/>
      <c r="E536" s="281"/>
      <c r="F536" s="281"/>
      <c r="G536" s="281"/>
      <c r="H536" s="281"/>
      <c r="I536" s="281"/>
      <c r="J536" s="421"/>
      <c r="K536" s="421"/>
    </row>
    <row r="537" spans="1:11" ht="18" customHeight="1" x14ac:dyDescent="0.2">
      <c r="A537" s="272"/>
      <c r="B537" s="272" t="s">
        <v>54</v>
      </c>
      <c r="C537" s="273" t="s">
        <v>1239</v>
      </c>
      <c r="D537" s="272" t="s">
        <v>1240</v>
      </c>
      <c r="E537" s="272" t="s">
        <v>1241</v>
      </c>
      <c r="F537" s="272" t="s">
        <v>1242</v>
      </c>
      <c r="G537" s="274" t="s">
        <v>60</v>
      </c>
      <c r="H537" s="273" t="s">
        <v>58</v>
      </c>
      <c r="I537" s="273" t="s">
        <v>1243</v>
      </c>
      <c r="J537" s="775" t="s">
        <v>196</v>
      </c>
      <c r="K537" s="776"/>
    </row>
    <row r="538" spans="1:11" ht="21.95" customHeight="1" x14ac:dyDescent="0.2">
      <c r="A538" s="275" t="s">
        <v>1244</v>
      </c>
      <c r="B538" s="275" t="s">
        <v>4111</v>
      </c>
      <c r="C538" s="276" t="s">
        <v>1626</v>
      </c>
      <c r="D538" s="275" t="s">
        <v>1246</v>
      </c>
      <c r="E538" s="275" t="s">
        <v>535</v>
      </c>
      <c r="F538" s="275" t="s">
        <v>1395</v>
      </c>
      <c r="G538" s="277" t="s">
        <v>77</v>
      </c>
      <c r="H538" s="276">
        <v>1</v>
      </c>
      <c r="I538" s="276" t="s">
        <v>1627</v>
      </c>
      <c r="J538" s="777" t="s">
        <v>1627</v>
      </c>
      <c r="K538" s="778"/>
    </row>
    <row r="539" spans="1:11" ht="21.95" customHeight="1" x14ac:dyDescent="0.2">
      <c r="A539" s="278" t="s">
        <v>1248</v>
      </c>
      <c r="B539" s="278"/>
      <c r="C539" s="279" t="s">
        <v>1448</v>
      </c>
      <c r="D539" s="278" t="s">
        <v>1250</v>
      </c>
      <c r="E539" s="278" t="s">
        <v>1449</v>
      </c>
      <c r="F539" s="278" t="s">
        <v>1252</v>
      </c>
      <c r="G539" s="280" t="s">
        <v>1253</v>
      </c>
      <c r="H539" s="279" t="s">
        <v>1486</v>
      </c>
      <c r="I539" s="279" t="s">
        <v>1451</v>
      </c>
      <c r="J539" s="781">
        <v>5.96</v>
      </c>
      <c r="K539" s="782"/>
    </row>
    <row r="540" spans="1:11" ht="21.95" customHeight="1" x14ac:dyDescent="0.2">
      <c r="A540" s="278" t="s">
        <v>1248</v>
      </c>
      <c r="B540" s="278"/>
      <c r="C540" s="279" t="s">
        <v>1273</v>
      </c>
      <c r="D540" s="278" t="s">
        <v>1250</v>
      </c>
      <c r="E540" s="278" t="s">
        <v>1274</v>
      </c>
      <c r="F540" s="278" t="s">
        <v>1252</v>
      </c>
      <c r="G540" s="280" t="s">
        <v>1253</v>
      </c>
      <c r="H540" s="279" t="s">
        <v>1341</v>
      </c>
      <c r="I540" s="279" t="s">
        <v>1275</v>
      </c>
      <c r="J540" s="781">
        <v>3.47</v>
      </c>
      <c r="K540" s="782"/>
    </row>
    <row r="541" spans="1:11" ht="21.95" customHeight="1" thickBot="1" x14ac:dyDescent="0.25">
      <c r="A541" s="282" t="s">
        <v>1276</v>
      </c>
      <c r="B541" s="282"/>
      <c r="C541" s="283" t="s">
        <v>1628</v>
      </c>
      <c r="D541" s="282" t="s">
        <v>1246</v>
      </c>
      <c r="E541" s="282" t="s">
        <v>1629</v>
      </c>
      <c r="F541" s="282" t="s">
        <v>1278</v>
      </c>
      <c r="G541" s="284" t="s">
        <v>749</v>
      </c>
      <c r="H541" s="283" t="s">
        <v>1624</v>
      </c>
      <c r="I541" s="283" t="s">
        <v>1630</v>
      </c>
      <c r="J541" s="770">
        <v>4.1900000000000004</v>
      </c>
      <c r="K541" s="771"/>
    </row>
    <row r="542" spans="1:11" ht="0.95" customHeight="1" thickTop="1" x14ac:dyDescent="0.2">
      <c r="A542" s="281"/>
      <c r="B542" s="281"/>
      <c r="C542" s="281"/>
      <c r="D542" s="281"/>
      <c r="E542" s="281"/>
      <c r="F542" s="281"/>
      <c r="G542" s="281"/>
      <c r="H542" s="281"/>
      <c r="I542" s="281"/>
      <c r="J542" s="421"/>
      <c r="K542" s="421"/>
    </row>
    <row r="543" spans="1:11" ht="18" customHeight="1" x14ac:dyDescent="0.2">
      <c r="A543" s="272"/>
      <c r="B543" s="272" t="s">
        <v>54</v>
      </c>
      <c r="C543" s="273" t="s">
        <v>1239</v>
      </c>
      <c r="D543" s="272" t="s">
        <v>1240</v>
      </c>
      <c r="E543" s="272" t="s">
        <v>1241</v>
      </c>
      <c r="F543" s="272" t="s">
        <v>1242</v>
      </c>
      <c r="G543" s="274" t="s">
        <v>60</v>
      </c>
      <c r="H543" s="273" t="s">
        <v>58</v>
      </c>
      <c r="I543" s="273" t="s">
        <v>1243</v>
      </c>
      <c r="J543" s="775" t="s">
        <v>196</v>
      </c>
      <c r="K543" s="776"/>
    </row>
    <row r="544" spans="1:11" ht="21.95" customHeight="1" x14ac:dyDescent="0.2">
      <c r="A544" s="275" t="s">
        <v>1244</v>
      </c>
      <c r="B544" s="275" t="s">
        <v>4112</v>
      </c>
      <c r="C544" s="276" t="s">
        <v>1621</v>
      </c>
      <c r="D544" s="275" t="s">
        <v>1246</v>
      </c>
      <c r="E544" s="275" t="s">
        <v>533</v>
      </c>
      <c r="F544" s="275" t="s">
        <v>1395</v>
      </c>
      <c r="G544" s="277" t="s">
        <v>9</v>
      </c>
      <c r="H544" s="276">
        <v>1</v>
      </c>
      <c r="I544" s="276" t="s">
        <v>1622</v>
      </c>
      <c r="J544" s="777" t="s">
        <v>1622</v>
      </c>
      <c r="K544" s="778"/>
    </row>
    <row r="545" spans="1:11" ht="21.95" customHeight="1" x14ac:dyDescent="0.2">
      <c r="A545" s="278" t="s">
        <v>1248</v>
      </c>
      <c r="B545" s="278"/>
      <c r="C545" s="279" t="s">
        <v>1448</v>
      </c>
      <c r="D545" s="278" t="s">
        <v>1250</v>
      </c>
      <c r="E545" s="278" t="s">
        <v>1449</v>
      </c>
      <c r="F545" s="278" t="s">
        <v>1252</v>
      </c>
      <c r="G545" s="280" t="s">
        <v>1253</v>
      </c>
      <c r="H545" s="279" t="s">
        <v>1486</v>
      </c>
      <c r="I545" s="279" t="s">
        <v>1451</v>
      </c>
      <c r="J545" s="781">
        <v>5.96</v>
      </c>
      <c r="K545" s="782"/>
    </row>
    <row r="546" spans="1:11" ht="21.95" customHeight="1" x14ac:dyDescent="0.2">
      <c r="A546" s="278" t="s">
        <v>1248</v>
      </c>
      <c r="B546" s="278"/>
      <c r="C546" s="279" t="s">
        <v>1273</v>
      </c>
      <c r="D546" s="278" t="s">
        <v>1250</v>
      </c>
      <c r="E546" s="278" t="s">
        <v>1274</v>
      </c>
      <c r="F546" s="278" t="s">
        <v>1252</v>
      </c>
      <c r="G546" s="280" t="s">
        <v>1253</v>
      </c>
      <c r="H546" s="279" t="s">
        <v>1341</v>
      </c>
      <c r="I546" s="279" t="s">
        <v>1275</v>
      </c>
      <c r="J546" s="781">
        <v>3.47</v>
      </c>
      <c r="K546" s="782"/>
    </row>
    <row r="547" spans="1:11" ht="21.95" customHeight="1" thickBot="1" x14ac:dyDescent="0.25">
      <c r="A547" s="282" t="s">
        <v>1276</v>
      </c>
      <c r="B547" s="282"/>
      <c r="C547" s="283" t="s">
        <v>1623</v>
      </c>
      <c r="D547" s="282" t="s">
        <v>1246</v>
      </c>
      <c r="E547" s="282" t="s">
        <v>744</v>
      </c>
      <c r="F547" s="282" t="s">
        <v>1278</v>
      </c>
      <c r="G547" s="284" t="s">
        <v>749</v>
      </c>
      <c r="H547" s="283" t="s">
        <v>1624</v>
      </c>
      <c r="I547" s="283" t="s">
        <v>1625</v>
      </c>
      <c r="J547" s="770">
        <v>4.7699999999999996</v>
      </c>
      <c r="K547" s="771"/>
    </row>
    <row r="548" spans="1:11" ht="0.95" customHeight="1" thickTop="1" x14ac:dyDescent="0.2">
      <c r="A548" s="281"/>
      <c r="B548" s="281"/>
      <c r="C548" s="281"/>
      <c r="D548" s="281"/>
      <c r="E548" s="281"/>
      <c r="F548" s="281"/>
      <c r="G548" s="281"/>
      <c r="H548" s="281"/>
      <c r="I548" s="281"/>
      <c r="J548" s="421"/>
      <c r="K548" s="421"/>
    </row>
    <row r="549" spans="1:11" ht="18" customHeight="1" x14ac:dyDescent="0.2">
      <c r="A549" s="272"/>
      <c r="B549" s="272" t="s">
        <v>54</v>
      </c>
      <c r="C549" s="273" t="s">
        <v>1239</v>
      </c>
      <c r="D549" s="272" t="s">
        <v>1240</v>
      </c>
      <c r="E549" s="272" t="s">
        <v>1241</v>
      </c>
      <c r="F549" s="272" t="s">
        <v>1242</v>
      </c>
      <c r="G549" s="274" t="s">
        <v>60</v>
      </c>
      <c r="H549" s="273" t="s">
        <v>58</v>
      </c>
      <c r="I549" s="273" t="s">
        <v>1243</v>
      </c>
      <c r="J549" s="775" t="s">
        <v>196</v>
      </c>
      <c r="K549" s="776"/>
    </row>
    <row r="550" spans="1:11" ht="33" customHeight="1" x14ac:dyDescent="0.2">
      <c r="A550" s="275" t="s">
        <v>1244</v>
      </c>
      <c r="B550" s="275" t="s">
        <v>4113</v>
      </c>
      <c r="C550" s="276" t="s">
        <v>1560</v>
      </c>
      <c r="D550" s="275" t="s">
        <v>1246</v>
      </c>
      <c r="E550" s="275" t="s">
        <v>525</v>
      </c>
      <c r="F550" s="275" t="s">
        <v>1252</v>
      </c>
      <c r="G550" s="277" t="s">
        <v>152</v>
      </c>
      <c r="H550" s="276">
        <v>1</v>
      </c>
      <c r="I550" s="276" t="s">
        <v>1561</v>
      </c>
      <c r="J550" s="777" t="s">
        <v>1561</v>
      </c>
      <c r="K550" s="778"/>
    </row>
    <row r="551" spans="1:11" ht="33" customHeight="1" thickBot="1" x14ac:dyDescent="0.25">
      <c r="A551" s="282" t="s">
        <v>1276</v>
      </c>
      <c r="B551" s="282"/>
      <c r="C551" s="283" t="s">
        <v>1562</v>
      </c>
      <c r="D551" s="282" t="s">
        <v>1250</v>
      </c>
      <c r="E551" s="282" t="s">
        <v>525</v>
      </c>
      <c r="F551" s="282" t="s">
        <v>1278</v>
      </c>
      <c r="G551" s="284" t="s">
        <v>52</v>
      </c>
      <c r="H551" s="283" t="s">
        <v>1262</v>
      </c>
      <c r="I551" s="283" t="s">
        <v>1561</v>
      </c>
      <c r="J551" s="770">
        <v>1261.69</v>
      </c>
      <c r="K551" s="771"/>
    </row>
    <row r="552" spans="1:11" ht="0.95" customHeight="1" thickTop="1" x14ac:dyDescent="0.2">
      <c r="A552" s="281"/>
      <c r="B552" s="281"/>
      <c r="C552" s="281"/>
      <c r="D552" s="281"/>
      <c r="E552" s="281"/>
      <c r="F552" s="281"/>
      <c r="G552" s="281"/>
      <c r="H552" s="281"/>
      <c r="I552" s="281"/>
      <c r="J552" s="421"/>
      <c r="K552" s="421"/>
    </row>
    <row r="553" spans="1:11" ht="18" customHeight="1" x14ac:dyDescent="0.2">
      <c r="A553" s="272"/>
      <c r="B553" s="272" t="s">
        <v>54</v>
      </c>
      <c r="C553" s="273" t="s">
        <v>1239</v>
      </c>
      <c r="D553" s="272" t="s">
        <v>1240</v>
      </c>
      <c r="E553" s="272" t="s">
        <v>1241</v>
      </c>
      <c r="F553" s="272" t="s">
        <v>1242</v>
      </c>
      <c r="G553" s="274" t="s">
        <v>60</v>
      </c>
      <c r="H553" s="273" t="s">
        <v>58</v>
      </c>
      <c r="I553" s="273" t="s">
        <v>1243</v>
      </c>
      <c r="J553" s="775" t="s">
        <v>196</v>
      </c>
      <c r="K553" s="776"/>
    </row>
    <row r="554" spans="1:11" ht="33" customHeight="1" x14ac:dyDescent="0.2">
      <c r="A554" s="275" t="s">
        <v>1244</v>
      </c>
      <c r="B554" s="275" t="s">
        <v>4114</v>
      </c>
      <c r="C554" s="276" t="s">
        <v>1563</v>
      </c>
      <c r="D554" s="275" t="s">
        <v>1246</v>
      </c>
      <c r="E554" s="275" t="s">
        <v>527</v>
      </c>
      <c r="F554" s="275" t="s">
        <v>1252</v>
      </c>
      <c r="G554" s="277" t="s">
        <v>52</v>
      </c>
      <c r="H554" s="276">
        <v>1</v>
      </c>
      <c r="I554" s="276" t="s">
        <v>1564</v>
      </c>
      <c r="J554" s="777" t="s">
        <v>1564</v>
      </c>
      <c r="K554" s="778"/>
    </row>
    <row r="555" spans="1:11" ht="21.95" customHeight="1" x14ac:dyDescent="0.2">
      <c r="A555" s="278" t="s">
        <v>1248</v>
      </c>
      <c r="B555" s="278"/>
      <c r="C555" s="279" t="s">
        <v>1565</v>
      </c>
      <c r="D555" s="278" t="s">
        <v>1250</v>
      </c>
      <c r="E555" s="278" t="s">
        <v>1566</v>
      </c>
      <c r="F555" s="278" t="s">
        <v>1252</v>
      </c>
      <c r="G555" s="280" t="s">
        <v>1253</v>
      </c>
      <c r="H555" s="279" t="s">
        <v>1567</v>
      </c>
      <c r="I555" s="279" t="s">
        <v>1568</v>
      </c>
      <c r="J555" s="781">
        <v>309.63</v>
      </c>
      <c r="K555" s="782"/>
    </row>
    <row r="556" spans="1:11" ht="21.95" customHeight="1" x14ac:dyDescent="0.2">
      <c r="A556" s="278" t="s">
        <v>1248</v>
      </c>
      <c r="B556" s="278"/>
      <c r="C556" s="279" t="s">
        <v>1297</v>
      </c>
      <c r="D556" s="278" t="s">
        <v>1250</v>
      </c>
      <c r="E556" s="278" t="s">
        <v>1298</v>
      </c>
      <c r="F556" s="278" t="s">
        <v>1252</v>
      </c>
      <c r="G556" s="280" t="s">
        <v>1253</v>
      </c>
      <c r="H556" s="279" t="s">
        <v>1569</v>
      </c>
      <c r="I556" s="279" t="s">
        <v>1299</v>
      </c>
      <c r="J556" s="781">
        <v>170.74</v>
      </c>
      <c r="K556" s="782"/>
    </row>
    <row r="557" spans="1:11" ht="21.95" customHeight="1" x14ac:dyDescent="0.2">
      <c r="A557" s="278" t="s">
        <v>1248</v>
      </c>
      <c r="B557" s="278"/>
      <c r="C557" s="279" t="s">
        <v>1427</v>
      </c>
      <c r="D557" s="278" t="s">
        <v>1250</v>
      </c>
      <c r="E557" s="278" t="s">
        <v>1428</v>
      </c>
      <c r="F557" s="278" t="s">
        <v>1252</v>
      </c>
      <c r="G557" s="280" t="s">
        <v>1253</v>
      </c>
      <c r="H557" s="279" t="s">
        <v>1570</v>
      </c>
      <c r="I557" s="279" t="s">
        <v>1299</v>
      </c>
      <c r="J557" s="781">
        <v>214.88</v>
      </c>
      <c r="K557" s="782"/>
    </row>
    <row r="558" spans="1:11" ht="21.95" customHeight="1" x14ac:dyDescent="0.2">
      <c r="A558" s="278" t="s">
        <v>1248</v>
      </c>
      <c r="B558" s="278"/>
      <c r="C558" s="279" t="s">
        <v>1269</v>
      </c>
      <c r="D558" s="278" t="s">
        <v>1250</v>
      </c>
      <c r="E558" s="278" t="s">
        <v>1270</v>
      </c>
      <c r="F558" s="278" t="s">
        <v>1252</v>
      </c>
      <c r="G558" s="280" t="s">
        <v>1253</v>
      </c>
      <c r="H558" s="279" t="s">
        <v>1571</v>
      </c>
      <c r="I558" s="279" t="s">
        <v>1272</v>
      </c>
      <c r="J558" s="781">
        <v>111.08</v>
      </c>
      <c r="K558" s="782"/>
    </row>
    <row r="559" spans="1:11" ht="21.95" customHeight="1" x14ac:dyDescent="0.2">
      <c r="A559" s="278" t="s">
        <v>1248</v>
      </c>
      <c r="B559" s="278"/>
      <c r="C559" s="279" t="s">
        <v>1273</v>
      </c>
      <c r="D559" s="278" t="s">
        <v>1250</v>
      </c>
      <c r="E559" s="278" t="s">
        <v>1274</v>
      </c>
      <c r="F559" s="278" t="s">
        <v>1252</v>
      </c>
      <c r="G559" s="280" t="s">
        <v>1253</v>
      </c>
      <c r="H559" s="279" t="s">
        <v>1572</v>
      </c>
      <c r="I559" s="279" t="s">
        <v>1275</v>
      </c>
      <c r="J559" s="781">
        <v>252.79</v>
      </c>
      <c r="K559" s="782"/>
    </row>
    <row r="560" spans="1:11" ht="44.1" customHeight="1" x14ac:dyDescent="0.2">
      <c r="A560" s="278" t="s">
        <v>1248</v>
      </c>
      <c r="B560" s="278"/>
      <c r="C560" s="279" t="s">
        <v>1573</v>
      </c>
      <c r="D560" s="278" t="s">
        <v>1250</v>
      </c>
      <c r="E560" s="278" t="s">
        <v>1574</v>
      </c>
      <c r="F560" s="278" t="s">
        <v>1481</v>
      </c>
      <c r="G560" s="280" t="s">
        <v>1482</v>
      </c>
      <c r="H560" s="279" t="s">
        <v>1575</v>
      </c>
      <c r="I560" s="279" t="s">
        <v>1576</v>
      </c>
      <c r="J560" s="781">
        <v>3.23</v>
      </c>
      <c r="K560" s="782"/>
    </row>
    <row r="561" spans="1:11" ht="21.95" customHeight="1" x14ac:dyDescent="0.2">
      <c r="A561" s="282" t="s">
        <v>1276</v>
      </c>
      <c r="B561" s="282"/>
      <c r="C561" s="283" t="s">
        <v>1307</v>
      </c>
      <c r="D561" s="282" t="s">
        <v>1250</v>
      </c>
      <c r="E561" s="282" t="s">
        <v>1308</v>
      </c>
      <c r="F561" s="282" t="s">
        <v>1278</v>
      </c>
      <c r="G561" s="284" t="s">
        <v>153</v>
      </c>
      <c r="H561" s="283" t="s">
        <v>1577</v>
      </c>
      <c r="I561" s="283" t="s">
        <v>1310</v>
      </c>
      <c r="J561" s="779">
        <v>48.53</v>
      </c>
      <c r="K561" s="780"/>
    </row>
    <row r="562" spans="1:11" ht="21.95" customHeight="1" x14ac:dyDescent="0.2">
      <c r="A562" s="282" t="s">
        <v>1276</v>
      </c>
      <c r="B562" s="282"/>
      <c r="C562" s="283" t="s">
        <v>1407</v>
      </c>
      <c r="D562" s="282" t="s">
        <v>1250</v>
      </c>
      <c r="E562" s="282" t="s">
        <v>1408</v>
      </c>
      <c r="F562" s="282" t="s">
        <v>1278</v>
      </c>
      <c r="G562" s="284" t="s">
        <v>71</v>
      </c>
      <c r="H562" s="283" t="s">
        <v>1578</v>
      </c>
      <c r="I562" s="283" t="s">
        <v>1410</v>
      </c>
      <c r="J562" s="779">
        <v>207.86</v>
      </c>
      <c r="K562" s="780"/>
    </row>
    <row r="563" spans="1:11" ht="21.95" customHeight="1" x14ac:dyDescent="0.2">
      <c r="A563" s="282" t="s">
        <v>1276</v>
      </c>
      <c r="B563" s="282"/>
      <c r="C563" s="283" t="s">
        <v>1579</v>
      </c>
      <c r="D563" s="282" t="s">
        <v>1250</v>
      </c>
      <c r="E563" s="282" t="s">
        <v>1580</v>
      </c>
      <c r="F563" s="282" t="s">
        <v>1278</v>
      </c>
      <c r="G563" s="284" t="s">
        <v>153</v>
      </c>
      <c r="H563" s="283" t="s">
        <v>1581</v>
      </c>
      <c r="I563" s="283" t="s">
        <v>1421</v>
      </c>
      <c r="J563" s="779">
        <v>16.5</v>
      </c>
      <c r="K563" s="780"/>
    </row>
    <row r="564" spans="1:11" ht="21.95" customHeight="1" x14ac:dyDescent="0.2">
      <c r="A564" s="282" t="s">
        <v>1276</v>
      </c>
      <c r="B564" s="282"/>
      <c r="C564" s="283" t="s">
        <v>1418</v>
      </c>
      <c r="D564" s="282" t="s">
        <v>1250</v>
      </c>
      <c r="E564" s="282" t="s">
        <v>1419</v>
      </c>
      <c r="F564" s="282" t="s">
        <v>1278</v>
      </c>
      <c r="G564" s="284" t="s">
        <v>153</v>
      </c>
      <c r="H564" s="283" t="s">
        <v>1582</v>
      </c>
      <c r="I564" s="283" t="s">
        <v>1421</v>
      </c>
      <c r="J564" s="779">
        <v>38.590000000000003</v>
      </c>
      <c r="K564" s="780"/>
    </row>
    <row r="565" spans="1:11" ht="21.95" customHeight="1" x14ac:dyDescent="0.2">
      <c r="A565" s="282" t="s">
        <v>1276</v>
      </c>
      <c r="B565" s="282"/>
      <c r="C565" s="283" t="s">
        <v>1583</v>
      </c>
      <c r="D565" s="282" t="s">
        <v>1250</v>
      </c>
      <c r="E565" s="282" t="s">
        <v>1584</v>
      </c>
      <c r="F565" s="282" t="s">
        <v>1278</v>
      </c>
      <c r="G565" s="284" t="s">
        <v>75</v>
      </c>
      <c r="H565" s="283" t="s">
        <v>1585</v>
      </c>
      <c r="I565" s="283" t="s">
        <v>1586</v>
      </c>
      <c r="J565" s="779">
        <v>38.56</v>
      </c>
      <c r="K565" s="780"/>
    </row>
    <row r="566" spans="1:11" ht="21.95" customHeight="1" x14ac:dyDescent="0.2">
      <c r="A566" s="282" t="s">
        <v>1276</v>
      </c>
      <c r="B566" s="282"/>
      <c r="C566" s="283" t="s">
        <v>1587</v>
      </c>
      <c r="D566" s="282" t="s">
        <v>1250</v>
      </c>
      <c r="E566" s="282" t="s">
        <v>1588</v>
      </c>
      <c r="F566" s="282" t="s">
        <v>1278</v>
      </c>
      <c r="G566" s="284" t="s">
        <v>75</v>
      </c>
      <c r="H566" s="283" t="s">
        <v>1589</v>
      </c>
      <c r="I566" s="283" t="s">
        <v>1590</v>
      </c>
      <c r="J566" s="779">
        <v>52.13</v>
      </c>
      <c r="K566" s="780"/>
    </row>
    <row r="567" spans="1:11" ht="21.95" customHeight="1" x14ac:dyDescent="0.2">
      <c r="A567" s="282" t="s">
        <v>1276</v>
      </c>
      <c r="B567" s="282"/>
      <c r="C567" s="283" t="s">
        <v>1591</v>
      </c>
      <c r="D567" s="282" t="s">
        <v>1250</v>
      </c>
      <c r="E567" s="282" t="s">
        <v>1592</v>
      </c>
      <c r="F567" s="282" t="s">
        <v>1278</v>
      </c>
      <c r="G567" s="284" t="s">
        <v>75</v>
      </c>
      <c r="H567" s="283" t="s">
        <v>1593</v>
      </c>
      <c r="I567" s="283" t="s">
        <v>1594</v>
      </c>
      <c r="J567" s="779">
        <v>23.5</v>
      </c>
      <c r="K567" s="780"/>
    </row>
    <row r="568" spans="1:11" ht="21.95" customHeight="1" x14ac:dyDescent="0.2">
      <c r="A568" s="282" t="s">
        <v>1276</v>
      </c>
      <c r="B568" s="282"/>
      <c r="C568" s="283" t="s">
        <v>1595</v>
      </c>
      <c r="D568" s="282" t="s">
        <v>1250</v>
      </c>
      <c r="E568" s="282" t="s">
        <v>1596</v>
      </c>
      <c r="F568" s="282" t="s">
        <v>1278</v>
      </c>
      <c r="G568" s="284" t="s">
        <v>77</v>
      </c>
      <c r="H568" s="283" t="s">
        <v>1597</v>
      </c>
      <c r="I568" s="283" t="s">
        <v>1598</v>
      </c>
      <c r="J568" s="779">
        <v>51.37</v>
      </c>
      <c r="K568" s="780"/>
    </row>
    <row r="569" spans="1:11" ht="21.95" customHeight="1" x14ac:dyDescent="0.2">
      <c r="A569" s="282" t="s">
        <v>1276</v>
      </c>
      <c r="B569" s="282"/>
      <c r="C569" s="283" t="s">
        <v>1599</v>
      </c>
      <c r="D569" s="282" t="s">
        <v>1250</v>
      </c>
      <c r="E569" s="282" t="s">
        <v>1600</v>
      </c>
      <c r="F569" s="282" t="s">
        <v>1278</v>
      </c>
      <c r="G569" s="284" t="s">
        <v>71</v>
      </c>
      <c r="H569" s="283" t="s">
        <v>1601</v>
      </c>
      <c r="I569" s="283" t="s">
        <v>1602</v>
      </c>
      <c r="J569" s="779">
        <v>908.5</v>
      </c>
      <c r="K569" s="780"/>
    </row>
    <row r="570" spans="1:11" ht="21.95" customHeight="1" x14ac:dyDescent="0.2">
      <c r="A570" s="282" t="s">
        <v>1276</v>
      </c>
      <c r="B570" s="282"/>
      <c r="C570" s="283" t="s">
        <v>1603</v>
      </c>
      <c r="D570" s="282" t="s">
        <v>1250</v>
      </c>
      <c r="E570" s="282" t="s">
        <v>1604</v>
      </c>
      <c r="F570" s="282" t="s">
        <v>1278</v>
      </c>
      <c r="G570" s="284" t="s">
        <v>71</v>
      </c>
      <c r="H570" s="283" t="s">
        <v>1349</v>
      </c>
      <c r="I570" s="283" t="s">
        <v>1605</v>
      </c>
      <c r="J570" s="779">
        <v>14.95</v>
      </c>
      <c r="K570" s="780"/>
    </row>
    <row r="571" spans="1:11" ht="21.95" customHeight="1" thickBot="1" x14ac:dyDescent="0.25">
      <c r="A571" s="282" t="s">
        <v>1276</v>
      </c>
      <c r="B571" s="282"/>
      <c r="C571" s="283" t="s">
        <v>1606</v>
      </c>
      <c r="D571" s="282" t="s">
        <v>1250</v>
      </c>
      <c r="E571" s="282" t="s">
        <v>1607</v>
      </c>
      <c r="F571" s="282" t="s">
        <v>1278</v>
      </c>
      <c r="G571" s="284" t="s">
        <v>71</v>
      </c>
      <c r="H571" s="283" t="s">
        <v>1608</v>
      </c>
      <c r="I571" s="283" t="s">
        <v>1609</v>
      </c>
      <c r="J571" s="770">
        <v>55.93</v>
      </c>
      <c r="K571" s="771"/>
    </row>
    <row r="572" spans="1:11" ht="0.95" customHeight="1" thickTop="1" x14ac:dyDescent="0.2">
      <c r="A572" s="281"/>
      <c r="B572" s="281"/>
      <c r="C572" s="281"/>
      <c r="D572" s="281"/>
      <c r="E572" s="281"/>
      <c r="F572" s="281"/>
      <c r="G572" s="281"/>
      <c r="H572" s="281"/>
      <c r="I572" s="281"/>
      <c r="J572" s="421"/>
      <c r="K572" s="421"/>
    </row>
    <row r="573" spans="1:11" ht="18" customHeight="1" x14ac:dyDescent="0.2">
      <c r="A573" s="272"/>
      <c r="B573" s="272" t="s">
        <v>54</v>
      </c>
      <c r="C573" s="273" t="s">
        <v>1239</v>
      </c>
      <c r="D573" s="272" t="s">
        <v>1240</v>
      </c>
      <c r="E573" s="272" t="s">
        <v>1241</v>
      </c>
      <c r="F573" s="272" t="s">
        <v>1242</v>
      </c>
      <c r="G573" s="274" t="s">
        <v>60</v>
      </c>
      <c r="H573" s="273" t="s">
        <v>58</v>
      </c>
      <c r="I573" s="273" t="s">
        <v>1243</v>
      </c>
      <c r="J573" s="775" t="s">
        <v>196</v>
      </c>
      <c r="K573" s="776"/>
    </row>
    <row r="574" spans="1:11" ht="44.1" customHeight="1" x14ac:dyDescent="0.2">
      <c r="A574" s="275" t="s">
        <v>1244</v>
      </c>
      <c r="B574" s="275" t="s">
        <v>4115</v>
      </c>
      <c r="C574" s="276" t="s">
        <v>1610</v>
      </c>
      <c r="D574" s="275" t="s">
        <v>1246</v>
      </c>
      <c r="E574" s="275" t="s">
        <v>529</v>
      </c>
      <c r="F574" s="275" t="s">
        <v>1252</v>
      </c>
      <c r="G574" s="277" t="s">
        <v>152</v>
      </c>
      <c r="H574" s="276">
        <v>1</v>
      </c>
      <c r="I574" s="276" t="s">
        <v>1611</v>
      </c>
      <c r="J574" s="777" t="s">
        <v>1611</v>
      </c>
      <c r="K574" s="778"/>
    </row>
    <row r="575" spans="1:11" ht="54.95" customHeight="1" thickBot="1" x14ac:dyDescent="0.25">
      <c r="A575" s="282" t="s">
        <v>1276</v>
      </c>
      <c r="B575" s="282"/>
      <c r="C575" s="283" t="s">
        <v>1612</v>
      </c>
      <c r="D575" s="282" t="s">
        <v>1250</v>
      </c>
      <c r="E575" s="282" t="s">
        <v>1613</v>
      </c>
      <c r="F575" s="282" t="s">
        <v>1278</v>
      </c>
      <c r="G575" s="284" t="s">
        <v>52</v>
      </c>
      <c r="H575" s="283" t="s">
        <v>1262</v>
      </c>
      <c r="I575" s="283" t="s">
        <v>1611</v>
      </c>
      <c r="J575" s="770">
        <v>2494.7199999999998</v>
      </c>
      <c r="K575" s="771"/>
    </row>
    <row r="576" spans="1:11" ht="0.95" customHeight="1" thickTop="1" x14ac:dyDescent="0.2">
      <c r="A576" s="281"/>
      <c r="B576" s="281"/>
      <c r="C576" s="281"/>
      <c r="D576" s="281"/>
      <c r="E576" s="281"/>
      <c r="F576" s="281"/>
      <c r="G576" s="281"/>
      <c r="H576" s="281"/>
      <c r="I576" s="281"/>
      <c r="J576" s="421"/>
      <c r="K576" s="421"/>
    </row>
    <row r="577" spans="1:11" ht="18" customHeight="1" x14ac:dyDescent="0.2">
      <c r="A577" s="272"/>
      <c r="B577" s="272" t="s">
        <v>54</v>
      </c>
      <c r="C577" s="273" t="s">
        <v>1239</v>
      </c>
      <c r="D577" s="272" t="s">
        <v>1240</v>
      </c>
      <c r="E577" s="272" t="s">
        <v>1241</v>
      </c>
      <c r="F577" s="272" t="s">
        <v>1242</v>
      </c>
      <c r="G577" s="274" t="s">
        <v>60</v>
      </c>
      <c r="H577" s="273" t="s">
        <v>58</v>
      </c>
      <c r="I577" s="273" t="s">
        <v>1243</v>
      </c>
      <c r="J577" s="775" t="s">
        <v>196</v>
      </c>
      <c r="K577" s="776"/>
    </row>
    <row r="578" spans="1:11" ht="44.1" customHeight="1" x14ac:dyDescent="0.2">
      <c r="A578" s="275" t="s">
        <v>1244</v>
      </c>
      <c r="B578" s="275" t="s">
        <v>4116</v>
      </c>
      <c r="C578" s="276" t="s">
        <v>1614</v>
      </c>
      <c r="D578" s="275" t="s">
        <v>1246</v>
      </c>
      <c r="E578" s="275" t="s">
        <v>531</v>
      </c>
      <c r="F578" s="275" t="s">
        <v>1252</v>
      </c>
      <c r="G578" s="277" t="s">
        <v>152</v>
      </c>
      <c r="H578" s="276">
        <v>1</v>
      </c>
      <c r="I578" s="276" t="s">
        <v>1615</v>
      </c>
      <c r="J578" s="777" t="s">
        <v>1615</v>
      </c>
      <c r="K578" s="778"/>
    </row>
    <row r="579" spans="1:11" ht="54.95" customHeight="1" thickBot="1" x14ac:dyDescent="0.25">
      <c r="A579" s="282" t="s">
        <v>1276</v>
      </c>
      <c r="B579" s="282"/>
      <c r="C579" s="283" t="s">
        <v>1616</v>
      </c>
      <c r="D579" s="282" t="s">
        <v>1250</v>
      </c>
      <c r="E579" s="282" t="s">
        <v>1617</v>
      </c>
      <c r="F579" s="282" t="s">
        <v>1278</v>
      </c>
      <c r="G579" s="284" t="s">
        <v>52</v>
      </c>
      <c r="H579" s="283" t="s">
        <v>1262</v>
      </c>
      <c r="I579" s="283" t="s">
        <v>1615</v>
      </c>
      <c r="J579" s="770">
        <v>1514.51</v>
      </c>
      <c r="K579" s="771"/>
    </row>
    <row r="580" spans="1:11" ht="0.95" customHeight="1" thickTop="1" x14ac:dyDescent="0.2">
      <c r="A580" s="281"/>
      <c r="B580" s="281"/>
      <c r="C580" s="281"/>
      <c r="D580" s="281"/>
      <c r="E580" s="281"/>
      <c r="F580" s="281"/>
      <c r="G580" s="281"/>
      <c r="H580" s="281"/>
      <c r="I580" s="281"/>
      <c r="J580" s="421"/>
      <c r="K580" s="421"/>
    </row>
    <row r="581" spans="1:11" ht="18" customHeight="1" x14ac:dyDescent="0.2">
      <c r="A581" s="272"/>
      <c r="B581" s="272" t="s">
        <v>54</v>
      </c>
      <c r="C581" s="273" t="s">
        <v>1239</v>
      </c>
      <c r="D581" s="272" t="s">
        <v>1240</v>
      </c>
      <c r="E581" s="272" t="s">
        <v>1241</v>
      </c>
      <c r="F581" s="272" t="s">
        <v>1242</v>
      </c>
      <c r="G581" s="274" t="s">
        <v>60</v>
      </c>
      <c r="H581" s="273" t="s">
        <v>58</v>
      </c>
      <c r="I581" s="273" t="s">
        <v>1243</v>
      </c>
      <c r="J581" s="775" t="s">
        <v>196</v>
      </c>
      <c r="K581" s="776"/>
    </row>
    <row r="582" spans="1:11" ht="21.95" customHeight="1" x14ac:dyDescent="0.2">
      <c r="A582" s="275" t="s">
        <v>1244</v>
      </c>
      <c r="B582" s="275" t="s">
        <v>4117</v>
      </c>
      <c r="C582" s="276" t="s">
        <v>4118</v>
      </c>
      <c r="D582" s="275" t="s">
        <v>1246</v>
      </c>
      <c r="E582" s="275" t="s">
        <v>2971</v>
      </c>
      <c r="F582" s="275" t="s">
        <v>1750</v>
      </c>
      <c r="G582" s="277" t="s">
        <v>52</v>
      </c>
      <c r="H582" s="276">
        <v>1</v>
      </c>
      <c r="I582" s="276" t="s">
        <v>4119</v>
      </c>
      <c r="J582" s="777" t="s">
        <v>4119</v>
      </c>
      <c r="K582" s="778"/>
    </row>
    <row r="583" spans="1:11" ht="21.95" customHeight="1" x14ac:dyDescent="0.2">
      <c r="A583" s="278" t="s">
        <v>1248</v>
      </c>
      <c r="B583" s="278"/>
      <c r="C583" s="279" t="s">
        <v>1269</v>
      </c>
      <c r="D583" s="278" t="s">
        <v>1250</v>
      </c>
      <c r="E583" s="278" t="s">
        <v>1270</v>
      </c>
      <c r="F583" s="278" t="s">
        <v>1252</v>
      </c>
      <c r="G583" s="280" t="s">
        <v>1253</v>
      </c>
      <c r="H583" s="279" t="s">
        <v>1262</v>
      </c>
      <c r="I583" s="279" t="s">
        <v>1272</v>
      </c>
      <c r="J583" s="781">
        <v>17.09</v>
      </c>
      <c r="K583" s="782"/>
    </row>
    <row r="584" spans="1:11" ht="21.95" customHeight="1" thickBot="1" x14ac:dyDescent="0.25">
      <c r="A584" s="282" t="s">
        <v>1276</v>
      </c>
      <c r="B584" s="282"/>
      <c r="C584" s="283" t="s">
        <v>4120</v>
      </c>
      <c r="D584" s="282" t="s">
        <v>1250</v>
      </c>
      <c r="E584" s="282" t="s">
        <v>4121</v>
      </c>
      <c r="F584" s="282" t="s">
        <v>1278</v>
      </c>
      <c r="G584" s="284" t="s">
        <v>52</v>
      </c>
      <c r="H584" s="283" t="s">
        <v>1262</v>
      </c>
      <c r="I584" s="283" t="s">
        <v>4122</v>
      </c>
      <c r="J584" s="770">
        <v>900.38</v>
      </c>
      <c r="K584" s="771"/>
    </row>
    <row r="585" spans="1:11" ht="0.95" customHeight="1" thickTop="1" x14ac:dyDescent="0.2">
      <c r="A585" s="281"/>
      <c r="B585" s="281"/>
      <c r="C585" s="281"/>
      <c r="D585" s="281"/>
      <c r="E585" s="281"/>
      <c r="F585" s="281"/>
      <c r="G585" s="281"/>
      <c r="H585" s="281"/>
      <c r="I585" s="281"/>
      <c r="J585" s="421"/>
      <c r="K585" s="421"/>
    </row>
    <row r="586" spans="1:11" ht="18" customHeight="1" x14ac:dyDescent="0.2">
      <c r="A586" s="272"/>
      <c r="B586" s="272" t="s">
        <v>54</v>
      </c>
      <c r="C586" s="273" t="s">
        <v>1239</v>
      </c>
      <c r="D586" s="272" t="s">
        <v>1240</v>
      </c>
      <c r="E586" s="272" t="s">
        <v>1241</v>
      </c>
      <c r="F586" s="272" t="s">
        <v>1242</v>
      </c>
      <c r="G586" s="274" t="s">
        <v>60</v>
      </c>
      <c r="H586" s="273" t="s">
        <v>58</v>
      </c>
      <c r="I586" s="273" t="s">
        <v>1243</v>
      </c>
      <c r="J586" s="775" t="s">
        <v>196</v>
      </c>
      <c r="K586" s="776"/>
    </row>
    <row r="587" spans="1:11" ht="21.95" customHeight="1" x14ac:dyDescent="0.2">
      <c r="A587" s="275" t="s">
        <v>1244</v>
      </c>
      <c r="B587" s="275" t="s">
        <v>4123</v>
      </c>
      <c r="C587" s="276" t="s">
        <v>1869</v>
      </c>
      <c r="D587" s="275" t="s">
        <v>1246</v>
      </c>
      <c r="E587" s="275" t="s">
        <v>298</v>
      </c>
      <c r="F587" s="275" t="s">
        <v>1385</v>
      </c>
      <c r="G587" s="277" t="s">
        <v>153</v>
      </c>
      <c r="H587" s="276">
        <v>1</v>
      </c>
      <c r="I587" s="276" t="s">
        <v>1870</v>
      </c>
      <c r="J587" s="777" t="s">
        <v>1870</v>
      </c>
      <c r="K587" s="778"/>
    </row>
    <row r="588" spans="1:11" ht="21.95" customHeight="1" thickBot="1" x14ac:dyDescent="0.25">
      <c r="A588" s="282" t="s">
        <v>1276</v>
      </c>
      <c r="B588" s="282"/>
      <c r="C588" s="283" t="s">
        <v>1871</v>
      </c>
      <c r="D588" s="282" t="s">
        <v>1250</v>
      </c>
      <c r="E588" s="282" t="s">
        <v>1872</v>
      </c>
      <c r="F588" s="282" t="s">
        <v>1278</v>
      </c>
      <c r="G588" s="284" t="s">
        <v>153</v>
      </c>
      <c r="H588" s="283" t="s">
        <v>1262</v>
      </c>
      <c r="I588" s="283" t="s">
        <v>1870</v>
      </c>
      <c r="J588" s="770">
        <v>27.91</v>
      </c>
      <c r="K588" s="771"/>
    </row>
    <row r="589" spans="1:11" ht="0.95" customHeight="1" thickTop="1" x14ac:dyDescent="0.2">
      <c r="A589" s="281"/>
      <c r="B589" s="281"/>
      <c r="C589" s="281"/>
      <c r="D589" s="281"/>
      <c r="E589" s="281"/>
      <c r="F589" s="281"/>
      <c r="G589" s="281"/>
      <c r="H589" s="281"/>
      <c r="I589" s="281"/>
      <c r="J589" s="421"/>
      <c r="K589" s="421"/>
    </row>
    <row r="590" spans="1:11" ht="18" customHeight="1" x14ac:dyDescent="0.2">
      <c r="A590" s="272"/>
      <c r="B590" s="272" t="s">
        <v>54</v>
      </c>
      <c r="C590" s="273" t="s">
        <v>1239</v>
      </c>
      <c r="D590" s="272" t="s">
        <v>1240</v>
      </c>
      <c r="E590" s="272" t="s">
        <v>1241</v>
      </c>
      <c r="F590" s="272" t="s">
        <v>1242</v>
      </c>
      <c r="G590" s="274" t="s">
        <v>60</v>
      </c>
      <c r="H590" s="273" t="s">
        <v>58</v>
      </c>
      <c r="I590" s="273" t="s">
        <v>1243</v>
      </c>
      <c r="J590" s="775" t="s">
        <v>196</v>
      </c>
      <c r="K590" s="776"/>
    </row>
    <row r="591" spans="1:11" ht="44.1" customHeight="1" x14ac:dyDescent="0.2">
      <c r="A591" s="275" t="s">
        <v>1244</v>
      </c>
      <c r="B591" s="275" t="s">
        <v>4124</v>
      </c>
      <c r="C591" s="276" t="s">
        <v>2138</v>
      </c>
      <c r="D591" s="275" t="s">
        <v>1246</v>
      </c>
      <c r="E591" s="275" t="s">
        <v>2139</v>
      </c>
      <c r="F591" s="275" t="s">
        <v>1364</v>
      </c>
      <c r="G591" s="277" t="s">
        <v>71</v>
      </c>
      <c r="H591" s="276">
        <v>1</v>
      </c>
      <c r="I591" s="276" t="s">
        <v>2141</v>
      </c>
      <c r="J591" s="777" t="s">
        <v>2141</v>
      </c>
      <c r="K591" s="778"/>
    </row>
    <row r="592" spans="1:11" ht="21.95" customHeight="1" x14ac:dyDescent="0.2">
      <c r="A592" s="278" t="s">
        <v>1248</v>
      </c>
      <c r="B592" s="278"/>
      <c r="C592" s="279" t="s">
        <v>1706</v>
      </c>
      <c r="D592" s="278" t="s">
        <v>1250</v>
      </c>
      <c r="E592" s="278" t="s">
        <v>1707</v>
      </c>
      <c r="F592" s="278" t="s">
        <v>1252</v>
      </c>
      <c r="G592" s="280" t="s">
        <v>1253</v>
      </c>
      <c r="H592" s="279" t="s">
        <v>2503</v>
      </c>
      <c r="I592" s="279" t="s">
        <v>1708</v>
      </c>
      <c r="J592" s="781">
        <v>0.39</v>
      </c>
      <c r="K592" s="782"/>
    </row>
    <row r="593" spans="1:11" ht="21.95" customHeight="1" x14ac:dyDescent="0.2">
      <c r="A593" s="278" t="s">
        <v>1248</v>
      </c>
      <c r="B593" s="278"/>
      <c r="C593" s="279" t="s">
        <v>1427</v>
      </c>
      <c r="D593" s="278" t="s">
        <v>1250</v>
      </c>
      <c r="E593" s="278" t="s">
        <v>1428</v>
      </c>
      <c r="F593" s="278" t="s">
        <v>1252</v>
      </c>
      <c r="G593" s="280" t="s">
        <v>1253</v>
      </c>
      <c r="H593" s="279" t="s">
        <v>2504</v>
      </c>
      <c r="I593" s="279" t="s">
        <v>1299</v>
      </c>
      <c r="J593" s="781">
        <v>2.96</v>
      </c>
      <c r="K593" s="782"/>
    </row>
    <row r="594" spans="1:11" ht="33" customHeight="1" x14ac:dyDescent="0.2">
      <c r="A594" s="278" t="s">
        <v>1248</v>
      </c>
      <c r="B594" s="278"/>
      <c r="C594" s="279" t="s">
        <v>2505</v>
      </c>
      <c r="D594" s="278" t="s">
        <v>1250</v>
      </c>
      <c r="E594" s="278" t="s">
        <v>2506</v>
      </c>
      <c r="F594" s="278" t="s">
        <v>1364</v>
      </c>
      <c r="G594" s="280" t="s">
        <v>71</v>
      </c>
      <c r="H594" s="279" t="s">
        <v>1262</v>
      </c>
      <c r="I594" s="279" t="s">
        <v>1618</v>
      </c>
      <c r="J594" s="781">
        <v>8.0500000000000007</v>
      </c>
      <c r="K594" s="782"/>
    </row>
    <row r="595" spans="1:11" ht="21.95" customHeight="1" x14ac:dyDescent="0.2">
      <c r="A595" s="282" t="s">
        <v>1276</v>
      </c>
      <c r="B595" s="282"/>
      <c r="C595" s="283" t="s">
        <v>1431</v>
      </c>
      <c r="D595" s="282" t="s">
        <v>1250</v>
      </c>
      <c r="E595" s="282" t="s">
        <v>1432</v>
      </c>
      <c r="F595" s="282" t="s">
        <v>1278</v>
      </c>
      <c r="G595" s="284" t="s">
        <v>71</v>
      </c>
      <c r="H595" s="283" t="s">
        <v>1339</v>
      </c>
      <c r="I595" s="283" t="s">
        <v>1434</v>
      </c>
      <c r="J595" s="779">
        <v>0.21</v>
      </c>
      <c r="K595" s="780"/>
    </row>
    <row r="596" spans="1:11" ht="33" customHeight="1" thickBot="1" x14ac:dyDescent="0.25">
      <c r="A596" s="282" t="s">
        <v>1276</v>
      </c>
      <c r="B596" s="282"/>
      <c r="C596" s="283" t="s">
        <v>2481</v>
      </c>
      <c r="D596" s="282" t="s">
        <v>1250</v>
      </c>
      <c r="E596" s="282" t="s">
        <v>2482</v>
      </c>
      <c r="F596" s="282" t="s">
        <v>1278</v>
      </c>
      <c r="G596" s="284" t="s">
        <v>52</v>
      </c>
      <c r="H596" s="283" t="s">
        <v>2507</v>
      </c>
      <c r="I596" s="283" t="s">
        <v>2484</v>
      </c>
      <c r="J596" s="770">
        <v>0.15</v>
      </c>
      <c r="K596" s="771"/>
    </row>
    <row r="597" spans="1:11" ht="0.95" customHeight="1" thickTop="1" x14ac:dyDescent="0.2">
      <c r="A597" s="281"/>
      <c r="B597" s="281"/>
      <c r="C597" s="281"/>
      <c r="D597" s="281"/>
      <c r="E597" s="281"/>
      <c r="F597" s="281"/>
      <c r="G597" s="281"/>
      <c r="H597" s="281"/>
      <c r="I597" s="281"/>
      <c r="J597" s="421"/>
      <c r="K597" s="421"/>
    </row>
    <row r="598" spans="1:11" ht="18" customHeight="1" x14ac:dyDescent="0.2">
      <c r="A598" s="272"/>
      <c r="B598" s="272" t="s">
        <v>54</v>
      </c>
      <c r="C598" s="273" t="s">
        <v>1239</v>
      </c>
      <c r="D598" s="272" t="s">
        <v>1240</v>
      </c>
      <c r="E598" s="272" t="s">
        <v>1241</v>
      </c>
      <c r="F598" s="272" t="s">
        <v>1242</v>
      </c>
      <c r="G598" s="274" t="s">
        <v>60</v>
      </c>
      <c r="H598" s="273" t="s">
        <v>58</v>
      </c>
      <c r="I598" s="273" t="s">
        <v>1243</v>
      </c>
      <c r="J598" s="775" t="s">
        <v>196</v>
      </c>
      <c r="K598" s="776"/>
    </row>
    <row r="599" spans="1:11" ht="44.1" customHeight="1" x14ac:dyDescent="0.2">
      <c r="A599" s="275" t="s">
        <v>1244</v>
      </c>
      <c r="B599" s="275" t="s">
        <v>4125</v>
      </c>
      <c r="C599" s="276" t="s">
        <v>2146</v>
      </c>
      <c r="D599" s="275" t="s">
        <v>1246</v>
      </c>
      <c r="E599" s="275" t="s">
        <v>2147</v>
      </c>
      <c r="F599" s="275" t="s">
        <v>1364</v>
      </c>
      <c r="G599" s="277" t="s">
        <v>71</v>
      </c>
      <c r="H599" s="276">
        <v>1</v>
      </c>
      <c r="I599" s="276" t="s">
        <v>1376</v>
      </c>
      <c r="J599" s="777" t="s">
        <v>1376</v>
      </c>
      <c r="K599" s="778"/>
    </row>
    <row r="600" spans="1:11" ht="21.95" customHeight="1" x14ac:dyDescent="0.2">
      <c r="A600" s="278" t="s">
        <v>1248</v>
      </c>
      <c r="B600" s="278"/>
      <c r="C600" s="279" t="s">
        <v>1706</v>
      </c>
      <c r="D600" s="278" t="s">
        <v>1250</v>
      </c>
      <c r="E600" s="278" t="s">
        <v>1707</v>
      </c>
      <c r="F600" s="278" t="s">
        <v>1252</v>
      </c>
      <c r="G600" s="280" t="s">
        <v>1253</v>
      </c>
      <c r="H600" s="279" t="s">
        <v>2497</v>
      </c>
      <c r="I600" s="279" t="s">
        <v>1708</v>
      </c>
      <c r="J600" s="781">
        <v>0.22</v>
      </c>
      <c r="K600" s="782"/>
    </row>
    <row r="601" spans="1:11" ht="21.95" customHeight="1" x14ac:dyDescent="0.2">
      <c r="A601" s="278" t="s">
        <v>1248</v>
      </c>
      <c r="B601" s="278"/>
      <c r="C601" s="279" t="s">
        <v>1427</v>
      </c>
      <c r="D601" s="278" t="s">
        <v>1250</v>
      </c>
      <c r="E601" s="278" t="s">
        <v>1428</v>
      </c>
      <c r="F601" s="278" t="s">
        <v>1252</v>
      </c>
      <c r="G601" s="280" t="s">
        <v>1253</v>
      </c>
      <c r="H601" s="279" t="s">
        <v>2498</v>
      </c>
      <c r="I601" s="279" t="s">
        <v>1299</v>
      </c>
      <c r="J601" s="781">
        <v>1.68</v>
      </c>
      <c r="K601" s="782"/>
    </row>
    <row r="602" spans="1:11" ht="33" customHeight="1" x14ac:dyDescent="0.2">
      <c r="A602" s="278" t="s">
        <v>1248</v>
      </c>
      <c r="B602" s="278"/>
      <c r="C602" s="279" t="s">
        <v>2499</v>
      </c>
      <c r="D602" s="278" t="s">
        <v>1250</v>
      </c>
      <c r="E602" s="278" t="s">
        <v>2500</v>
      </c>
      <c r="F602" s="278" t="s">
        <v>1364</v>
      </c>
      <c r="G602" s="280" t="s">
        <v>71</v>
      </c>
      <c r="H602" s="279" t="s">
        <v>1262</v>
      </c>
      <c r="I602" s="279" t="s">
        <v>2501</v>
      </c>
      <c r="J602" s="781">
        <v>8.18</v>
      </c>
      <c r="K602" s="782"/>
    </row>
    <row r="603" spans="1:11" ht="21.95" customHeight="1" x14ac:dyDescent="0.2">
      <c r="A603" s="282" t="s">
        <v>1276</v>
      </c>
      <c r="B603" s="282"/>
      <c r="C603" s="283" t="s">
        <v>1431</v>
      </c>
      <c r="D603" s="282" t="s">
        <v>1250</v>
      </c>
      <c r="E603" s="282" t="s">
        <v>1432</v>
      </c>
      <c r="F603" s="282" t="s">
        <v>1278</v>
      </c>
      <c r="G603" s="284" t="s">
        <v>71</v>
      </c>
      <c r="H603" s="283" t="s">
        <v>1339</v>
      </c>
      <c r="I603" s="283" t="s">
        <v>1434</v>
      </c>
      <c r="J603" s="779">
        <v>0.21</v>
      </c>
      <c r="K603" s="780"/>
    </row>
    <row r="604" spans="1:11" ht="33" customHeight="1" thickBot="1" x14ac:dyDescent="0.25">
      <c r="A604" s="282" t="s">
        <v>1276</v>
      </c>
      <c r="B604" s="282"/>
      <c r="C604" s="283" t="s">
        <v>2481</v>
      </c>
      <c r="D604" s="282" t="s">
        <v>1250</v>
      </c>
      <c r="E604" s="282" t="s">
        <v>2482</v>
      </c>
      <c r="F604" s="282" t="s">
        <v>1278</v>
      </c>
      <c r="G604" s="284" t="s">
        <v>52</v>
      </c>
      <c r="H604" s="283" t="s">
        <v>2502</v>
      </c>
      <c r="I604" s="283" t="s">
        <v>2484</v>
      </c>
      <c r="J604" s="770">
        <v>0.09</v>
      </c>
      <c r="K604" s="771"/>
    </row>
    <row r="605" spans="1:11" ht="0.95" customHeight="1" thickTop="1" x14ac:dyDescent="0.2">
      <c r="A605" s="281"/>
      <c r="B605" s="281"/>
      <c r="C605" s="281"/>
      <c r="D605" s="281"/>
      <c r="E605" s="281"/>
      <c r="F605" s="281"/>
      <c r="G605" s="281"/>
      <c r="H605" s="281"/>
      <c r="I605" s="281"/>
      <c r="J605" s="421"/>
      <c r="K605" s="421"/>
    </row>
    <row r="606" spans="1:11" ht="18" customHeight="1" x14ac:dyDescent="0.2">
      <c r="A606" s="272"/>
      <c r="B606" s="272" t="s">
        <v>54</v>
      </c>
      <c r="C606" s="273" t="s">
        <v>1239</v>
      </c>
      <c r="D606" s="272" t="s">
        <v>1240</v>
      </c>
      <c r="E606" s="272" t="s">
        <v>1241</v>
      </c>
      <c r="F606" s="272" t="s">
        <v>1242</v>
      </c>
      <c r="G606" s="274" t="s">
        <v>60</v>
      </c>
      <c r="H606" s="273" t="s">
        <v>58</v>
      </c>
      <c r="I606" s="273" t="s">
        <v>1243</v>
      </c>
      <c r="J606" s="775" t="s">
        <v>196</v>
      </c>
      <c r="K606" s="776"/>
    </row>
    <row r="607" spans="1:11" ht="21.95" customHeight="1" x14ac:dyDescent="0.2">
      <c r="A607" s="275" t="s">
        <v>1244</v>
      </c>
      <c r="B607" s="275" t="s">
        <v>4126</v>
      </c>
      <c r="C607" s="276" t="s">
        <v>2679</v>
      </c>
      <c r="D607" s="275" t="s">
        <v>1246</v>
      </c>
      <c r="E607" s="275" t="s">
        <v>2677</v>
      </c>
      <c r="F607" s="275" t="s">
        <v>1364</v>
      </c>
      <c r="G607" s="277" t="s">
        <v>52</v>
      </c>
      <c r="H607" s="276">
        <v>1</v>
      </c>
      <c r="I607" s="276" t="s">
        <v>2680</v>
      </c>
      <c r="J607" s="777" t="s">
        <v>2680</v>
      </c>
      <c r="K607" s="778"/>
    </row>
    <row r="608" spans="1:11" ht="21.95" customHeight="1" thickBot="1" x14ac:dyDescent="0.25">
      <c r="A608" s="282" t="s">
        <v>1276</v>
      </c>
      <c r="B608" s="282"/>
      <c r="C608" s="283" t="s">
        <v>2681</v>
      </c>
      <c r="D608" s="282" t="s">
        <v>1246</v>
      </c>
      <c r="E608" s="282" t="s">
        <v>2677</v>
      </c>
      <c r="F608" s="282" t="s">
        <v>55</v>
      </c>
      <c r="G608" s="284" t="s">
        <v>52</v>
      </c>
      <c r="H608" s="283" t="s">
        <v>1262</v>
      </c>
      <c r="I608" s="283" t="s">
        <v>2680</v>
      </c>
      <c r="J608" s="770">
        <v>1000</v>
      </c>
      <c r="K608" s="771"/>
    </row>
    <row r="609" spans="1:11" ht="0.95" customHeight="1" thickTop="1" x14ac:dyDescent="0.2">
      <c r="A609" s="281"/>
      <c r="B609" s="281"/>
      <c r="C609" s="281"/>
      <c r="D609" s="281"/>
      <c r="E609" s="281"/>
      <c r="F609" s="281"/>
      <c r="G609" s="281"/>
      <c r="H609" s="281"/>
      <c r="I609" s="281"/>
      <c r="J609" s="421"/>
      <c r="K609" s="421"/>
    </row>
    <row r="610" spans="1:11" ht="18" customHeight="1" x14ac:dyDescent="0.2">
      <c r="A610" s="272"/>
      <c r="B610" s="272" t="s">
        <v>54</v>
      </c>
      <c r="C610" s="273" t="s">
        <v>1239</v>
      </c>
      <c r="D610" s="272" t="s">
        <v>1240</v>
      </c>
      <c r="E610" s="272" t="s">
        <v>1241</v>
      </c>
      <c r="F610" s="272" t="s">
        <v>1242</v>
      </c>
      <c r="G610" s="274" t="s">
        <v>60</v>
      </c>
      <c r="H610" s="273" t="s">
        <v>58</v>
      </c>
      <c r="I610" s="273" t="s">
        <v>1243</v>
      </c>
      <c r="J610" s="775" t="s">
        <v>196</v>
      </c>
      <c r="K610" s="776"/>
    </row>
    <row r="611" spans="1:11" ht="21.95" customHeight="1" x14ac:dyDescent="0.2">
      <c r="A611" s="275" t="s">
        <v>1244</v>
      </c>
      <c r="B611" s="275" t="s">
        <v>4127</v>
      </c>
      <c r="C611" s="276" t="s">
        <v>1415</v>
      </c>
      <c r="D611" s="275" t="s">
        <v>1246</v>
      </c>
      <c r="E611" s="275" t="s">
        <v>421</v>
      </c>
      <c r="F611" s="275" t="s">
        <v>1252</v>
      </c>
      <c r="G611" s="277" t="s">
        <v>153</v>
      </c>
      <c r="H611" s="276">
        <v>1</v>
      </c>
      <c r="I611" s="276" t="s">
        <v>1416</v>
      </c>
      <c r="J611" s="777" t="s">
        <v>1416</v>
      </c>
      <c r="K611" s="778"/>
    </row>
    <row r="612" spans="1:11" ht="21.95" customHeight="1" x14ac:dyDescent="0.2">
      <c r="A612" s="278" t="s">
        <v>1248</v>
      </c>
      <c r="B612" s="278"/>
      <c r="C612" s="279" t="s">
        <v>1273</v>
      </c>
      <c r="D612" s="278" t="s">
        <v>1250</v>
      </c>
      <c r="E612" s="278" t="s">
        <v>1274</v>
      </c>
      <c r="F612" s="278" t="s">
        <v>1252</v>
      </c>
      <c r="G612" s="280" t="s">
        <v>1253</v>
      </c>
      <c r="H612" s="279" t="s">
        <v>1417</v>
      </c>
      <c r="I612" s="279" t="s">
        <v>1275</v>
      </c>
      <c r="J612" s="781">
        <v>27.78</v>
      </c>
      <c r="K612" s="782"/>
    </row>
    <row r="613" spans="1:11" ht="21.95" customHeight="1" thickBot="1" x14ac:dyDescent="0.25">
      <c r="A613" s="282" t="s">
        <v>1276</v>
      </c>
      <c r="B613" s="282"/>
      <c r="C613" s="283" t="s">
        <v>1418</v>
      </c>
      <c r="D613" s="282" t="s">
        <v>1250</v>
      </c>
      <c r="E613" s="282" t="s">
        <v>1419</v>
      </c>
      <c r="F613" s="282" t="s">
        <v>1278</v>
      </c>
      <c r="G613" s="284" t="s">
        <v>153</v>
      </c>
      <c r="H613" s="283" t="s">
        <v>1420</v>
      </c>
      <c r="I613" s="283" t="s">
        <v>1421</v>
      </c>
      <c r="J613" s="770">
        <v>57.93</v>
      </c>
      <c r="K613" s="771"/>
    </row>
    <row r="614" spans="1:11" ht="0.95" customHeight="1" thickTop="1" x14ac:dyDescent="0.2">
      <c r="A614" s="281"/>
      <c r="B614" s="281"/>
      <c r="C614" s="281"/>
      <c r="D614" s="281"/>
      <c r="E614" s="281"/>
      <c r="F614" s="281"/>
      <c r="G614" s="281"/>
      <c r="H614" s="281"/>
      <c r="I614" s="281"/>
      <c r="J614" s="421"/>
      <c r="K614" s="421"/>
    </row>
    <row r="615" spans="1:11" ht="18" customHeight="1" x14ac:dyDescent="0.2">
      <c r="A615" s="272"/>
      <c r="B615" s="272" t="s">
        <v>54</v>
      </c>
      <c r="C615" s="273" t="s">
        <v>1239</v>
      </c>
      <c r="D615" s="272" t="s">
        <v>1240</v>
      </c>
      <c r="E615" s="272" t="s">
        <v>1241</v>
      </c>
      <c r="F615" s="272" t="s">
        <v>1242</v>
      </c>
      <c r="G615" s="274" t="s">
        <v>60</v>
      </c>
      <c r="H615" s="273" t="s">
        <v>58</v>
      </c>
      <c r="I615" s="273" t="s">
        <v>1243</v>
      </c>
      <c r="J615" s="775" t="s">
        <v>196</v>
      </c>
      <c r="K615" s="776"/>
    </row>
    <row r="616" spans="1:11" ht="33" customHeight="1" x14ac:dyDescent="0.2">
      <c r="A616" s="275" t="s">
        <v>1244</v>
      </c>
      <c r="B616" s="275" t="s">
        <v>4128</v>
      </c>
      <c r="C616" s="276" t="s">
        <v>1873</v>
      </c>
      <c r="D616" s="275" t="s">
        <v>1246</v>
      </c>
      <c r="E616" s="275" t="s">
        <v>578</v>
      </c>
      <c r="F616" s="275" t="s">
        <v>1874</v>
      </c>
      <c r="G616" s="277" t="s">
        <v>153</v>
      </c>
      <c r="H616" s="276">
        <v>1</v>
      </c>
      <c r="I616" s="276" t="s">
        <v>1875</v>
      </c>
      <c r="J616" s="777" t="s">
        <v>1875</v>
      </c>
      <c r="K616" s="778"/>
    </row>
    <row r="617" spans="1:11" ht="21.95" customHeight="1" x14ac:dyDescent="0.2">
      <c r="A617" s="278" t="s">
        <v>1248</v>
      </c>
      <c r="B617" s="278"/>
      <c r="C617" s="279" t="s">
        <v>1876</v>
      </c>
      <c r="D617" s="278" t="s">
        <v>1250</v>
      </c>
      <c r="E617" s="278" t="s">
        <v>251</v>
      </c>
      <c r="F617" s="278" t="s">
        <v>1364</v>
      </c>
      <c r="G617" s="280" t="s">
        <v>153</v>
      </c>
      <c r="H617" s="279" t="s">
        <v>1262</v>
      </c>
      <c r="I617" s="279" t="s">
        <v>1877</v>
      </c>
      <c r="J617" s="781">
        <v>23.45</v>
      </c>
      <c r="K617" s="782"/>
    </row>
    <row r="618" spans="1:11" ht="33" customHeight="1" thickBot="1" x14ac:dyDescent="0.25">
      <c r="A618" s="282" t="s">
        <v>1276</v>
      </c>
      <c r="B618" s="282"/>
      <c r="C618" s="283" t="s">
        <v>1878</v>
      </c>
      <c r="D618" s="282" t="s">
        <v>1250</v>
      </c>
      <c r="E618" s="282" t="s">
        <v>1879</v>
      </c>
      <c r="F618" s="282" t="s">
        <v>1278</v>
      </c>
      <c r="G618" s="284" t="s">
        <v>153</v>
      </c>
      <c r="H618" s="283" t="s">
        <v>1262</v>
      </c>
      <c r="I618" s="283" t="s">
        <v>1880</v>
      </c>
      <c r="J618" s="770">
        <v>364.73</v>
      </c>
      <c r="K618" s="771"/>
    </row>
    <row r="619" spans="1:11" ht="0.95" customHeight="1" thickTop="1" x14ac:dyDescent="0.2">
      <c r="A619" s="281"/>
      <c r="B619" s="281"/>
      <c r="C619" s="281"/>
      <c r="D619" s="281"/>
      <c r="E619" s="281"/>
      <c r="F619" s="281"/>
      <c r="G619" s="281"/>
      <c r="H619" s="281"/>
      <c r="I619" s="281"/>
      <c r="J619" s="421"/>
      <c r="K619" s="421"/>
    </row>
    <row r="620" spans="1:11" ht="18" customHeight="1" x14ac:dyDescent="0.2">
      <c r="A620" s="272"/>
      <c r="B620" s="272" t="s">
        <v>54</v>
      </c>
      <c r="C620" s="273" t="s">
        <v>1239</v>
      </c>
      <c r="D620" s="272" t="s">
        <v>1240</v>
      </c>
      <c r="E620" s="272" t="s">
        <v>1241</v>
      </c>
      <c r="F620" s="272" t="s">
        <v>1242</v>
      </c>
      <c r="G620" s="274" t="s">
        <v>60</v>
      </c>
      <c r="H620" s="273" t="s">
        <v>58</v>
      </c>
      <c r="I620" s="273" t="s">
        <v>1243</v>
      </c>
      <c r="J620" s="775" t="s">
        <v>196</v>
      </c>
      <c r="K620" s="776"/>
    </row>
    <row r="621" spans="1:11" ht="33" customHeight="1" x14ac:dyDescent="0.2">
      <c r="A621" s="275" t="s">
        <v>1244</v>
      </c>
      <c r="B621" s="275" t="s">
        <v>4129</v>
      </c>
      <c r="C621" s="276" t="s">
        <v>1873</v>
      </c>
      <c r="D621" s="275" t="s">
        <v>1246</v>
      </c>
      <c r="E621" s="275" t="s">
        <v>578</v>
      </c>
      <c r="F621" s="275" t="s">
        <v>1874</v>
      </c>
      <c r="G621" s="277" t="s">
        <v>153</v>
      </c>
      <c r="H621" s="276">
        <v>1</v>
      </c>
      <c r="I621" s="276" t="s">
        <v>1875</v>
      </c>
      <c r="J621" s="777" t="s">
        <v>1875</v>
      </c>
      <c r="K621" s="778"/>
    </row>
    <row r="622" spans="1:11" ht="21.95" customHeight="1" x14ac:dyDescent="0.2">
      <c r="A622" s="278" t="s">
        <v>1248</v>
      </c>
      <c r="B622" s="278"/>
      <c r="C622" s="279" t="s">
        <v>1876</v>
      </c>
      <c r="D622" s="278" t="s">
        <v>1250</v>
      </c>
      <c r="E622" s="278" t="s">
        <v>251</v>
      </c>
      <c r="F622" s="278" t="s">
        <v>1364</v>
      </c>
      <c r="G622" s="280" t="s">
        <v>153</v>
      </c>
      <c r="H622" s="279" t="s">
        <v>1262</v>
      </c>
      <c r="I622" s="279" t="s">
        <v>1877</v>
      </c>
      <c r="J622" s="781">
        <v>23.45</v>
      </c>
      <c r="K622" s="782"/>
    </row>
    <row r="623" spans="1:11" ht="33" customHeight="1" thickBot="1" x14ac:dyDescent="0.25">
      <c r="A623" s="282" t="s">
        <v>1276</v>
      </c>
      <c r="B623" s="282"/>
      <c r="C623" s="283" t="s">
        <v>1878</v>
      </c>
      <c r="D623" s="282" t="s">
        <v>1250</v>
      </c>
      <c r="E623" s="282" t="s">
        <v>1879</v>
      </c>
      <c r="F623" s="282" t="s">
        <v>1278</v>
      </c>
      <c r="G623" s="284" t="s">
        <v>153</v>
      </c>
      <c r="H623" s="283" t="s">
        <v>1262</v>
      </c>
      <c r="I623" s="283" t="s">
        <v>1880</v>
      </c>
      <c r="J623" s="770">
        <v>364.73</v>
      </c>
      <c r="K623" s="771"/>
    </row>
    <row r="624" spans="1:11" ht="0.95" customHeight="1" thickTop="1" x14ac:dyDescent="0.2">
      <c r="A624" s="281"/>
      <c r="B624" s="281"/>
      <c r="C624" s="281"/>
      <c r="D624" s="281"/>
      <c r="E624" s="281"/>
      <c r="F624" s="281"/>
      <c r="G624" s="281"/>
      <c r="H624" s="281"/>
      <c r="I624" s="281"/>
      <c r="J624" s="421"/>
      <c r="K624" s="421"/>
    </row>
    <row r="625" spans="1:11" ht="18" customHeight="1" x14ac:dyDescent="0.2">
      <c r="A625" s="272"/>
      <c r="B625" s="272" t="s">
        <v>54</v>
      </c>
      <c r="C625" s="273" t="s">
        <v>1239</v>
      </c>
      <c r="D625" s="272" t="s">
        <v>1240</v>
      </c>
      <c r="E625" s="272" t="s">
        <v>1241</v>
      </c>
      <c r="F625" s="272" t="s">
        <v>1242</v>
      </c>
      <c r="G625" s="274" t="s">
        <v>60</v>
      </c>
      <c r="H625" s="273" t="s">
        <v>58</v>
      </c>
      <c r="I625" s="273" t="s">
        <v>1243</v>
      </c>
      <c r="J625" s="775" t="s">
        <v>196</v>
      </c>
      <c r="K625" s="776"/>
    </row>
    <row r="626" spans="1:11" ht="33" customHeight="1" x14ac:dyDescent="0.2">
      <c r="A626" s="275" t="s">
        <v>1244</v>
      </c>
      <c r="B626" s="275" t="s">
        <v>4130</v>
      </c>
      <c r="C626" s="276" t="s">
        <v>1873</v>
      </c>
      <c r="D626" s="275" t="s">
        <v>1246</v>
      </c>
      <c r="E626" s="275" t="s">
        <v>578</v>
      </c>
      <c r="F626" s="275" t="s">
        <v>1874</v>
      </c>
      <c r="G626" s="277" t="s">
        <v>153</v>
      </c>
      <c r="H626" s="276">
        <v>1</v>
      </c>
      <c r="I626" s="276" t="s">
        <v>1875</v>
      </c>
      <c r="J626" s="777" t="s">
        <v>1875</v>
      </c>
      <c r="K626" s="778"/>
    </row>
    <row r="627" spans="1:11" ht="21.95" customHeight="1" x14ac:dyDescent="0.2">
      <c r="A627" s="278" t="s">
        <v>1248</v>
      </c>
      <c r="B627" s="278"/>
      <c r="C627" s="279" t="s">
        <v>1876</v>
      </c>
      <c r="D627" s="278" t="s">
        <v>1250</v>
      </c>
      <c r="E627" s="278" t="s">
        <v>251</v>
      </c>
      <c r="F627" s="278" t="s">
        <v>1364</v>
      </c>
      <c r="G627" s="280" t="s">
        <v>153</v>
      </c>
      <c r="H627" s="279" t="s">
        <v>1262</v>
      </c>
      <c r="I627" s="279" t="s">
        <v>1877</v>
      </c>
      <c r="J627" s="781">
        <v>23.45</v>
      </c>
      <c r="K627" s="782"/>
    </row>
    <row r="628" spans="1:11" ht="33" customHeight="1" thickBot="1" x14ac:dyDescent="0.25">
      <c r="A628" s="282" t="s">
        <v>1276</v>
      </c>
      <c r="B628" s="282"/>
      <c r="C628" s="283" t="s">
        <v>1878</v>
      </c>
      <c r="D628" s="282" t="s">
        <v>1250</v>
      </c>
      <c r="E628" s="282" t="s">
        <v>1879</v>
      </c>
      <c r="F628" s="282" t="s">
        <v>1278</v>
      </c>
      <c r="G628" s="284" t="s">
        <v>153</v>
      </c>
      <c r="H628" s="283" t="s">
        <v>1262</v>
      </c>
      <c r="I628" s="283" t="s">
        <v>1880</v>
      </c>
      <c r="J628" s="770">
        <v>364.73</v>
      </c>
      <c r="K628" s="771"/>
    </row>
    <row r="629" spans="1:11" ht="0.95" customHeight="1" thickTop="1" x14ac:dyDescent="0.2">
      <c r="A629" s="281"/>
      <c r="B629" s="281"/>
      <c r="C629" s="281"/>
      <c r="D629" s="281"/>
      <c r="E629" s="281"/>
      <c r="F629" s="281"/>
      <c r="G629" s="281"/>
      <c r="H629" s="281"/>
      <c r="I629" s="281"/>
      <c r="J629" s="421"/>
      <c r="K629" s="421"/>
    </row>
    <row r="630" spans="1:11" ht="18" customHeight="1" x14ac:dyDescent="0.2">
      <c r="A630" s="272"/>
      <c r="B630" s="272" t="s">
        <v>54</v>
      </c>
      <c r="C630" s="273" t="s">
        <v>1239</v>
      </c>
      <c r="D630" s="272" t="s">
        <v>1240</v>
      </c>
      <c r="E630" s="272" t="s">
        <v>1241</v>
      </c>
      <c r="F630" s="272" t="s">
        <v>1242</v>
      </c>
      <c r="G630" s="274" t="s">
        <v>60</v>
      </c>
      <c r="H630" s="273" t="s">
        <v>58</v>
      </c>
      <c r="I630" s="273" t="s">
        <v>1243</v>
      </c>
      <c r="J630" s="775" t="s">
        <v>196</v>
      </c>
      <c r="K630" s="776"/>
    </row>
    <row r="631" spans="1:11" ht="33" customHeight="1" x14ac:dyDescent="0.2">
      <c r="A631" s="275" t="s">
        <v>1244</v>
      </c>
      <c r="B631" s="275" t="s">
        <v>4131</v>
      </c>
      <c r="C631" s="276" t="s">
        <v>1873</v>
      </c>
      <c r="D631" s="275" t="s">
        <v>1246</v>
      </c>
      <c r="E631" s="275" t="s">
        <v>578</v>
      </c>
      <c r="F631" s="275" t="s">
        <v>1874</v>
      </c>
      <c r="G631" s="277" t="s">
        <v>153</v>
      </c>
      <c r="H631" s="276">
        <v>1</v>
      </c>
      <c r="I631" s="276" t="s">
        <v>1875</v>
      </c>
      <c r="J631" s="777" t="s">
        <v>1875</v>
      </c>
      <c r="K631" s="778"/>
    </row>
    <row r="632" spans="1:11" ht="21.95" customHeight="1" x14ac:dyDescent="0.2">
      <c r="A632" s="278" t="s">
        <v>1248</v>
      </c>
      <c r="B632" s="278"/>
      <c r="C632" s="279" t="s">
        <v>1876</v>
      </c>
      <c r="D632" s="278" t="s">
        <v>1250</v>
      </c>
      <c r="E632" s="278" t="s">
        <v>251</v>
      </c>
      <c r="F632" s="278" t="s">
        <v>1364</v>
      </c>
      <c r="G632" s="280" t="s">
        <v>153</v>
      </c>
      <c r="H632" s="279" t="s">
        <v>1262</v>
      </c>
      <c r="I632" s="279" t="s">
        <v>1877</v>
      </c>
      <c r="J632" s="781">
        <v>23.45</v>
      </c>
      <c r="K632" s="782"/>
    </row>
    <row r="633" spans="1:11" ht="33" customHeight="1" thickBot="1" x14ac:dyDescent="0.25">
      <c r="A633" s="282" t="s">
        <v>1276</v>
      </c>
      <c r="B633" s="282"/>
      <c r="C633" s="283" t="s">
        <v>1878</v>
      </c>
      <c r="D633" s="282" t="s">
        <v>1250</v>
      </c>
      <c r="E633" s="282" t="s">
        <v>1879</v>
      </c>
      <c r="F633" s="282" t="s">
        <v>1278</v>
      </c>
      <c r="G633" s="284" t="s">
        <v>153</v>
      </c>
      <c r="H633" s="283" t="s">
        <v>1262</v>
      </c>
      <c r="I633" s="283" t="s">
        <v>1880</v>
      </c>
      <c r="J633" s="770">
        <v>364.73</v>
      </c>
      <c r="K633" s="771"/>
    </row>
    <row r="634" spans="1:11" ht="0.95" customHeight="1" thickTop="1" x14ac:dyDescent="0.2">
      <c r="A634" s="281"/>
      <c r="B634" s="281"/>
      <c r="C634" s="281"/>
      <c r="D634" s="281"/>
      <c r="E634" s="281"/>
      <c r="F634" s="281"/>
      <c r="G634" s="281"/>
      <c r="H634" s="281"/>
      <c r="I634" s="281"/>
      <c r="J634" s="421"/>
      <c r="K634" s="421"/>
    </row>
    <row r="635" spans="1:11" ht="18" customHeight="1" x14ac:dyDescent="0.2">
      <c r="A635" s="272"/>
      <c r="B635" s="272" t="s">
        <v>54</v>
      </c>
      <c r="C635" s="273" t="s">
        <v>1239</v>
      </c>
      <c r="D635" s="272" t="s">
        <v>1240</v>
      </c>
      <c r="E635" s="272" t="s">
        <v>1241</v>
      </c>
      <c r="F635" s="272" t="s">
        <v>1242</v>
      </c>
      <c r="G635" s="274" t="s">
        <v>60</v>
      </c>
      <c r="H635" s="273" t="s">
        <v>58</v>
      </c>
      <c r="I635" s="273" t="s">
        <v>1243</v>
      </c>
      <c r="J635" s="775" t="s">
        <v>196</v>
      </c>
      <c r="K635" s="776"/>
    </row>
    <row r="636" spans="1:11" ht="44.1" customHeight="1" x14ac:dyDescent="0.2">
      <c r="A636" s="275" t="s">
        <v>1244</v>
      </c>
      <c r="B636" s="275" t="s">
        <v>4132</v>
      </c>
      <c r="C636" s="276" t="s">
        <v>2138</v>
      </c>
      <c r="D636" s="275" t="s">
        <v>1246</v>
      </c>
      <c r="E636" s="275" t="s">
        <v>2139</v>
      </c>
      <c r="F636" s="275" t="s">
        <v>1364</v>
      </c>
      <c r="G636" s="277" t="s">
        <v>71</v>
      </c>
      <c r="H636" s="276">
        <v>1</v>
      </c>
      <c r="I636" s="276" t="s">
        <v>2141</v>
      </c>
      <c r="J636" s="777" t="s">
        <v>2141</v>
      </c>
      <c r="K636" s="778"/>
    </row>
    <row r="637" spans="1:11" ht="21.95" customHeight="1" x14ac:dyDescent="0.2">
      <c r="A637" s="278" t="s">
        <v>1248</v>
      </c>
      <c r="B637" s="278"/>
      <c r="C637" s="279" t="s">
        <v>1706</v>
      </c>
      <c r="D637" s="278" t="s">
        <v>1250</v>
      </c>
      <c r="E637" s="278" t="s">
        <v>1707</v>
      </c>
      <c r="F637" s="278" t="s">
        <v>1252</v>
      </c>
      <c r="G637" s="280" t="s">
        <v>1253</v>
      </c>
      <c r="H637" s="279" t="s">
        <v>2503</v>
      </c>
      <c r="I637" s="279" t="s">
        <v>1708</v>
      </c>
      <c r="J637" s="781">
        <v>0.39</v>
      </c>
      <c r="K637" s="782"/>
    </row>
    <row r="638" spans="1:11" ht="21.95" customHeight="1" x14ac:dyDescent="0.2">
      <c r="A638" s="278" t="s">
        <v>1248</v>
      </c>
      <c r="B638" s="278"/>
      <c r="C638" s="279" t="s">
        <v>1427</v>
      </c>
      <c r="D638" s="278" t="s">
        <v>1250</v>
      </c>
      <c r="E638" s="278" t="s">
        <v>1428</v>
      </c>
      <c r="F638" s="278" t="s">
        <v>1252</v>
      </c>
      <c r="G638" s="280" t="s">
        <v>1253</v>
      </c>
      <c r="H638" s="279" t="s">
        <v>2504</v>
      </c>
      <c r="I638" s="279" t="s">
        <v>1299</v>
      </c>
      <c r="J638" s="781">
        <v>2.96</v>
      </c>
      <c r="K638" s="782"/>
    </row>
    <row r="639" spans="1:11" ht="33" customHeight="1" x14ac:dyDescent="0.2">
      <c r="A639" s="278" t="s">
        <v>1248</v>
      </c>
      <c r="B639" s="278"/>
      <c r="C639" s="279" t="s">
        <v>2505</v>
      </c>
      <c r="D639" s="278" t="s">
        <v>1250</v>
      </c>
      <c r="E639" s="278" t="s">
        <v>2506</v>
      </c>
      <c r="F639" s="278" t="s">
        <v>1364</v>
      </c>
      <c r="G639" s="280" t="s">
        <v>71</v>
      </c>
      <c r="H639" s="279" t="s">
        <v>1262</v>
      </c>
      <c r="I639" s="279" t="s">
        <v>1618</v>
      </c>
      <c r="J639" s="781">
        <v>8.0500000000000007</v>
      </c>
      <c r="K639" s="782"/>
    </row>
    <row r="640" spans="1:11" ht="21.95" customHeight="1" x14ac:dyDescent="0.2">
      <c r="A640" s="282" t="s">
        <v>1276</v>
      </c>
      <c r="B640" s="282"/>
      <c r="C640" s="283" t="s">
        <v>1431</v>
      </c>
      <c r="D640" s="282" t="s">
        <v>1250</v>
      </c>
      <c r="E640" s="282" t="s">
        <v>1432</v>
      </c>
      <c r="F640" s="282" t="s">
        <v>1278</v>
      </c>
      <c r="G640" s="284" t="s">
        <v>71</v>
      </c>
      <c r="H640" s="283" t="s">
        <v>1339</v>
      </c>
      <c r="I640" s="283" t="s">
        <v>1434</v>
      </c>
      <c r="J640" s="779">
        <v>0.21</v>
      </c>
      <c r="K640" s="780"/>
    </row>
    <row r="641" spans="1:11" ht="33" customHeight="1" thickBot="1" x14ac:dyDescent="0.25">
      <c r="A641" s="282" t="s">
        <v>1276</v>
      </c>
      <c r="B641" s="282"/>
      <c r="C641" s="283" t="s">
        <v>2481</v>
      </c>
      <c r="D641" s="282" t="s">
        <v>1250</v>
      </c>
      <c r="E641" s="282" t="s">
        <v>2482</v>
      </c>
      <c r="F641" s="282" t="s">
        <v>1278</v>
      </c>
      <c r="G641" s="284" t="s">
        <v>52</v>
      </c>
      <c r="H641" s="283" t="s">
        <v>2507</v>
      </c>
      <c r="I641" s="283" t="s">
        <v>2484</v>
      </c>
      <c r="J641" s="770">
        <v>0.15</v>
      </c>
      <c r="K641" s="771"/>
    </row>
    <row r="642" spans="1:11" ht="0.95" customHeight="1" thickTop="1" x14ac:dyDescent="0.2">
      <c r="A642" s="281"/>
      <c r="B642" s="281"/>
      <c r="C642" s="281"/>
      <c r="D642" s="281"/>
      <c r="E642" s="281"/>
      <c r="F642" s="281"/>
      <c r="G642" s="281"/>
      <c r="H642" s="281"/>
      <c r="I642" s="281"/>
      <c r="J642" s="421"/>
      <c r="K642" s="421"/>
    </row>
    <row r="643" spans="1:11" ht="18" customHeight="1" x14ac:dyDescent="0.2">
      <c r="A643" s="272"/>
      <c r="B643" s="272" t="s">
        <v>54</v>
      </c>
      <c r="C643" s="273" t="s">
        <v>1239</v>
      </c>
      <c r="D643" s="272" t="s">
        <v>1240</v>
      </c>
      <c r="E643" s="272" t="s">
        <v>1241</v>
      </c>
      <c r="F643" s="272" t="s">
        <v>1242</v>
      </c>
      <c r="G643" s="274" t="s">
        <v>60</v>
      </c>
      <c r="H643" s="273" t="s">
        <v>58</v>
      </c>
      <c r="I643" s="273" t="s">
        <v>1243</v>
      </c>
      <c r="J643" s="775" t="s">
        <v>196</v>
      </c>
      <c r="K643" s="776"/>
    </row>
    <row r="644" spans="1:11" ht="44.1" customHeight="1" x14ac:dyDescent="0.2">
      <c r="A644" s="275" t="s">
        <v>1244</v>
      </c>
      <c r="B644" s="275" t="s">
        <v>4133</v>
      </c>
      <c r="C644" s="276" t="s">
        <v>2146</v>
      </c>
      <c r="D644" s="275" t="s">
        <v>1246</v>
      </c>
      <c r="E644" s="275" t="s">
        <v>2147</v>
      </c>
      <c r="F644" s="275" t="s">
        <v>1364</v>
      </c>
      <c r="G644" s="277" t="s">
        <v>71</v>
      </c>
      <c r="H644" s="276">
        <v>1</v>
      </c>
      <c r="I644" s="276" t="s">
        <v>1376</v>
      </c>
      <c r="J644" s="777" t="s">
        <v>1376</v>
      </c>
      <c r="K644" s="778"/>
    </row>
    <row r="645" spans="1:11" ht="21.95" customHeight="1" x14ac:dyDescent="0.2">
      <c r="A645" s="278" t="s">
        <v>1248</v>
      </c>
      <c r="B645" s="278"/>
      <c r="C645" s="279" t="s">
        <v>1706</v>
      </c>
      <c r="D645" s="278" t="s">
        <v>1250</v>
      </c>
      <c r="E645" s="278" t="s">
        <v>1707</v>
      </c>
      <c r="F645" s="278" t="s">
        <v>1252</v>
      </c>
      <c r="G645" s="280" t="s">
        <v>1253</v>
      </c>
      <c r="H645" s="279" t="s">
        <v>2497</v>
      </c>
      <c r="I645" s="279" t="s">
        <v>1708</v>
      </c>
      <c r="J645" s="781">
        <v>0.22</v>
      </c>
      <c r="K645" s="782"/>
    </row>
    <row r="646" spans="1:11" ht="21.95" customHeight="1" x14ac:dyDescent="0.2">
      <c r="A646" s="278" t="s">
        <v>1248</v>
      </c>
      <c r="B646" s="278"/>
      <c r="C646" s="279" t="s">
        <v>1427</v>
      </c>
      <c r="D646" s="278" t="s">
        <v>1250</v>
      </c>
      <c r="E646" s="278" t="s">
        <v>1428</v>
      </c>
      <c r="F646" s="278" t="s">
        <v>1252</v>
      </c>
      <c r="G646" s="280" t="s">
        <v>1253</v>
      </c>
      <c r="H646" s="279" t="s">
        <v>2498</v>
      </c>
      <c r="I646" s="279" t="s">
        <v>1299</v>
      </c>
      <c r="J646" s="781">
        <v>1.68</v>
      </c>
      <c r="K646" s="782"/>
    </row>
    <row r="647" spans="1:11" ht="33" customHeight="1" x14ac:dyDescent="0.2">
      <c r="A647" s="278" t="s">
        <v>1248</v>
      </c>
      <c r="B647" s="278"/>
      <c r="C647" s="279" t="s">
        <v>2499</v>
      </c>
      <c r="D647" s="278" t="s">
        <v>1250</v>
      </c>
      <c r="E647" s="278" t="s">
        <v>2500</v>
      </c>
      <c r="F647" s="278" t="s">
        <v>1364</v>
      </c>
      <c r="G647" s="280" t="s">
        <v>71</v>
      </c>
      <c r="H647" s="279" t="s">
        <v>1262</v>
      </c>
      <c r="I647" s="279" t="s">
        <v>2501</v>
      </c>
      <c r="J647" s="781">
        <v>8.18</v>
      </c>
      <c r="K647" s="782"/>
    </row>
    <row r="648" spans="1:11" ht="21.95" customHeight="1" x14ac:dyDescent="0.2">
      <c r="A648" s="282" t="s">
        <v>1276</v>
      </c>
      <c r="B648" s="282"/>
      <c r="C648" s="283" t="s">
        <v>1431</v>
      </c>
      <c r="D648" s="282" t="s">
        <v>1250</v>
      </c>
      <c r="E648" s="282" t="s">
        <v>1432</v>
      </c>
      <c r="F648" s="282" t="s">
        <v>1278</v>
      </c>
      <c r="G648" s="284" t="s">
        <v>71</v>
      </c>
      <c r="H648" s="283" t="s">
        <v>1339</v>
      </c>
      <c r="I648" s="283" t="s">
        <v>1434</v>
      </c>
      <c r="J648" s="779">
        <v>0.21</v>
      </c>
      <c r="K648" s="780"/>
    </row>
    <row r="649" spans="1:11" ht="33" customHeight="1" thickBot="1" x14ac:dyDescent="0.25">
      <c r="A649" s="282" t="s">
        <v>1276</v>
      </c>
      <c r="B649" s="282"/>
      <c r="C649" s="283" t="s">
        <v>2481</v>
      </c>
      <c r="D649" s="282" t="s">
        <v>1250</v>
      </c>
      <c r="E649" s="282" t="s">
        <v>2482</v>
      </c>
      <c r="F649" s="282" t="s">
        <v>1278</v>
      </c>
      <c r="G649" s="284" t="s">
        <v>52</v>
      </c>
      <c r="H649" s="283" t="s">
        <v>2502</v>
      </c>
      <c r="I649" s="283" t="s">
        <v>2484</v>
      </c>
      <c r="J649" s="770">
        <v>0.09</v>
      </c>
      <c r="K649" s="771"/>
    </row>
    <row r="650" spans="1:11" ht="0.95" customHeight="1" thickTop="1" x14ac:dyDescent="0.2">
      <c r="A650" s="281"/>
      <c r="B650" s="281"/>
      <c r="C650" s="281"/>
      <c r="D650" s="281"/>
      <c r="E650" s="281"/>
      <c r="F650" s="281"/>
      <c r="G650" s="281"/>
      <c r="H650" s="281"/>
      <c r="I650" s="281"/>
      <c r="J650" s="421"/>
      <c r="K650" s="421"/>
    </row>
    <row r="651" spans="1:11" ht="18" customHeight="1" x14ac:dyDescent="0.2">
      <c r="A651" s="272"/>
      <c r="B651" s="272" t="s">
        <v>54</v>
      </c>
      <c r="C651" s="273" t="s">
        <v>1239</v>
      </c>
      <c r="D651" s="272" t="s">
        <v>1240</v>
      </c>
      <c r="E651" s="272" t="s">
        <v>1241</v>
      </c>
      <c r="F651" s="272" t="s">
        <v>1242</v>
      </c>
      <c r="G651" s="274" t="s">
        <v>60</v>
      </c>
      <c r="H651" s="273" t="s">
        <v>58</v>
      </c>
      <c r="I651" s="273" t="s">
        <v>1243</v>
      </c>
      <c r="J651" s="775" t="s">
        <v>196</v>
      </c>
      <c r="K651" s="776"/>
    </row>
    <row r="652" spans="1:11" ht="44.1" customHeight="1" x14ac:dyDescent="0.2">
      <c r="A652" s="275" t="s">
        <v>1244</v>
      </c>
      <c r="B652" s="275" t="s">
        <v>4134</v>
      </c>
      <c r="C652" s="276" t="s">
        <v>2149</v>
      </c>
      <c r="D652" s="275" t="s">
        <v>1246</v>
      </c>
      <c r="E652" s="275" t="s">
        <v>2150</v>
      </c>
      <c r="F652" s="275" t="s">
        <v>1364</v>
      </c>
      <c r="G652" s="277" t="s">
        <v>71</v>
      </c>
      <c r="H652" s="276">
        <v>1</v>
      </c>
      <c r="I652" s="276" t="s">
        <v>2152</v>
      </c>
      <c r="J652" s="777" t="s">
        <v>2152</v>
      </c>
      <c r="K652" s="778"/>
    </row>
    <row r="653" spans="1:11" ht="21.95" customHeight="1" x14ac:dyDescent="0.2">
      <c r="A653" s="278" t="s">
        <v>1248</v>
      </c>
      <c r="B653" s="278"/>
      <c r="C653" s="279" t="s">
        <v>1706</v>
      </c>
      <c r="D653" s="278" t="s">
        <v>1250</v>
      </c>
      <c r="E653" s="278" t="s">
        <v>1707</v>
      </c>
      <c r="F653" s="278" t="s">
        <v>1252</v>
      </c>
      <c r="G653" s="280" t="s">
        <v>1253</v>
      </c>
      <c r="H653" s="279" t="s">
        <v>2471</v>
      </c>
      <c r="I653" s="279" t="s">
        <v>1708</v>
      </c>
      <c r="J653" s="781">
        <v>0.16</v>
      </c>
      <c r="K653" s="782"/>
    </row>
    <row r="654" spans="1:11" ht="21.95" customHeight="1" x14ac:dyDescent="0.2">
      <c r="A654" s="278" t="s">
        <v>1248</v>
      </c>
      <c r="B654" s="278"/>
      <c r="C654" s="279" t="s">
        <v>1427</v>
      </c>
      <c r="D654" s="278" t="s">
        <v>1250</v>
      </c>
      <c r="E654" s="278" t="s">
        <v>1428</v>
      </c>
      <c r="F654" s="278" t="s">
        <v>1252</v>
      </c>
      <c r="G654" s="280" t="s">
        <v>1253</v>
      </c>
      <c r="H654" s="279" t="s">
        <v>2472</v>
      </c>
      <c r="I654" s="279" t="s">
        <v>1299</v>
      </c>
      <c r="J654" s="781">
        <v>1.26</v>
      </c>
      <c r="K654" s="782"/>
    </row>
    <row r="655" spans="1:11" ht="33" customHeight="1" x14ac:dyDescent="0.2">
      <c r="A655" s="278" t="s">
        <v>1248</v>
      </c>
      <c r="B655" s="278"/>
      <c r="C655" s="279" t="s">
        <v>2473</v>
      </c>
      <c r="D655" s="278" t="s">
        <v>1250</v>
      </c>
      <c r="E655" s="278" t="s">
        <v>2474</v>
      </c>
      <c r="F655" s="278" t="s">
        <v>1364</v>
      </c>
      <c r="G655" s="280" t="s">
        <v>71</v>
      </c>
      <c r="H655" s="279" t="s">
        <v>1262</v>
      </c>
      <c r="I655" s="279" t="s">
        <v>2475</v>
      </c>
      <c r="J655" s="781">
        <v>6.75</v>
      </c>
      <c r="K655" s="782"/>
    </row>
    <row r="656" spans="1:11" ht="21.95" customHeight="1" thickBot="1" x14ac:dyDescent="0.25">
      <c r="A656" s="282" t="s">
        <v>1276</v>
      </c>
      <c r="B656" s="282"/>
      <c r="C656" s="283" t="s">
        <v>1431</v>
      </c>
      <c r="D656" s="282" t="s">
        <v>1250</v>
      </c>
      <c r="E656" s="282" t="s">
        <v>1432</v>
      </c>
      <c r="F656" s="282" t="s">
        <v>1278</v>
      </c>
      <c r="G656" s="284" t="s">
        <v>71</v>
      </c>
      <c r="H656" s="283" t="s">
        <v>1339</v>
      </c>
      <c r="I656" s="283" t="s">
        <v>1434</v>
      </c>
      <c r="J656" s="770">
        <v>0.21</v>
      </c>
      <c r="K656" s="771"/>
    </row>
    <row r="657" spans="1:11" ht="0.95" customHeight="1" thickTop="1" x14ac:dyDescent="0.2">
      <c r="A657" s="281"/>
      <c r="B657" s="281"/>
      <c r="C657" s="281"/>
      <c r="D657" s="281"/>
      <c r="E657" s="281"/>
      <c r="F657" s="281"/>
      <c r="G657" s="281"/>
      <c r="H657" s="281"/>
      <c r="I657" s="281"/>
      <c r="J657" s="421"/>
      <c r="K657" s="421"/>
    </row>
    <row r="658" spans="1:11" ht="18" customHeight="1" x14ac:dyDescent="0.2">
      <c r="A658" s="272"/>
      <c r="B658" s="272" t="s">
        <v>54</v>
      </c>
      <c r="C658" s="273" t="s">
        <v>1239</v>
      </c>
      <c r="D658" s="272" t="s">
        <v>1240</v>
      </c>
      <c r="E658" s="272" t="s">
        <v>1241</v>
      </c>
      <c r="F658" s="272" t="s">
        <v>1242</v>
      </c>
      <c r="G658" s="274" t="s">
        <v>60</v>
      </c>
      <c r="H658" s="273" t="s">
        <v>58</v>
      </c>
      <c r="I658" s="273" t="s">
        <v>1243</v>
      </c>
      <c r="J658" s="775" t="s">
        <v>196</v>
      </c>
      <c r="K658" s="776"/>
    </row>
    <row r="659" spans="1:11" ht="33" customHeight="1" x14ac:dyDescent="0.2">
      <c r="A659" s="275" t="s">
        <v>1244</v>
      </c>
      <c r="B659" s="275" t="s">
        <v>4135</v>
      </c>
      <c r="C659" s="276" t="s">
        <v>1873</v>
      </c>
      <c r="D659" s="275" t="s">
        <v>1246</v>
      </c>
      <c r="E659" s="275" t="s">
        <v>578</v>
      </c>
      <c r="F659" s="275" t="s">
        <v>1874</v>
      </c>
      <c r="G659" s="277" t="s">
        <v>153</v>
      </c>
      <c r="H659" s="276">
        <v>1</v>
      </c>
      <c r="I659" s="276" t="s">
        <v>1875</v>
      </c>
      <c r="J659" s="777" t="s">
        <v>1875</v>
      </c>
      <c r="K659" s="778"/>
    </row>
    <row r="660" spans="1:11" ht="21.95" customHeight="1" x14ac:dyDescent="0.2">
      <c r="A660" s="278" t="s">
        <v>1248</v>
      </c>
      <c r="B660" s="278"/>
      <c r="C660" s="279" t="s">
        <v>1876</v>
      </c>
      <c r="D660" s="278" t="s">
        <v>1250</v>
      </c>
      <c r="E660" s="278" t="s">
        <v>251</v>
      </c>
      <c r="F660" s="278" t="s">
        <v>1364</v>
      </c>
      <c r="G660" s="280" t="s">
        <v>153</v>
      </c>
      <c r="H660" s="279" t="s">
        <v>1262</v>
      </c>
      <c r="I660" s="279" t="s">
        <v>1877</v>
      </c>
      <c r="J660" s="781">
        <v>23.45</v>
      </c>
      <c r="K660" s="782"/>
    </row>
    <row r="661" spans="1:11" ht="33" customHeight="1" thickBot="1" x14ac:dyDescent="0.25">
      <c r="A661" s="282" t="s">
        <v>1276</v>
      </c>
      <c r="B661" s="282"/>
      <c r="C661" s="283" t="s">
        <v>1878</v>
      </c>
      <c r="D661" s="282" t="s">
        <v>1250</v>
      </c>
      <c r="E661" s="282" t="s">
        <v>1879</v>
      </c>
      <c r="F661" s="282" t="s">
        <v>1278</v>
      </c>
      <c r="G661" s="284" t="s">
        <v>153</v>
      </c>
      <c r="H661" s="283" t="s">
        <v>1262</v>
      </c>
      <c r="I661" s="283" t="s">
        <v>1880</v>
      </c>
      <c r="J661" s="770">
        <v>364.73</v>
      </c>
      <c r="K661" s="771"/>
    </row>
    <row r="662" spans="1:11" ht="0.95" customHeight="1" thickTop="1" x14ac:dyDescent="0.2">
      <c r="A662" s="281"/>
      <c r="B662" s="281"/>
      <c r="C662" s="281"/>
      <c r="D662" s="281"/>
      <c r="E662" s="281"/>
      <c r="F662" s="281"/>
      <c r="G662" s="281"/>
      <c r="H662" s="281"/>
      <c r="I662" s="281"/>
      <c r="J662" s="421"/>
      <c r="K662" s="421"/>
    </row>
    <row r="663" spans="1:11" ht="18" customHeight="1" x14ac:dyDescent="0.2">
      <c r="A663" s="272"/>
      <c r="B663" s="272" t="s">
        <v>54</v>
      </c>
      <c r="C663" s="273" t="s">
        <v>1239</v>
      </c>
      <c r="D663" s="272" t="s">
        <v>1240</v>
      </c>
      <c r="E663" s="272" t="s">
        <v>1241</v>
      </c>
      <c r="F663" s="272" t="s">
        <v>1242</v>
      </c>
      <c r="G663" s="274" t="s">
        <v>60</v>
      </c>
      <c r="H663" s="273" t="s">
        <v>58</v>
      </c>
      <c r="I663" s="273" t="s">
        <v>1243</v>
      </c>
      <c r="J663" s="775" t="s">
        <v>196</v>
      </c>
      <c r="K663" s="776"/>
    </row>
    <row r="664" spans="1:11" ht="33" customHeight="1" x14ac:dyDescent="0.2">
      <c r="A664" s="275" t="s">
        <v>1244</v>
      </c>
      <c r="B664" s="275" t="s">
        <v>4136</v>
      </c>
      <c r="C664" s="276" t="s">
        <v>1873</v>
      </c>
      <c r="D664" s="275" t="s">
        <v>1246</v>
      </c>
      <c r="E664" s="275" t="s">
        <v>578</v>
      </c>
      <c r="F664" s="275" t="s">
        <v>1874</v>
      </c>
      <c r="G664" s="277" t="s">
        <v>153</v>
      </c>
      <c r="H664" s="276">
        <v>1</v>
      </c>
      <c r="I664" s="276" t="s">
        <v>1875</v>
      </c>
      <c r="J664" s="777" t="s">
        <v>1875</v>
      </c>
      <c r="K664" s="778"/>
    </row>
    <row r="665" spans="1:11" ht="21.95" customHeight="1" x14ac:dyDescent="0.2">
      <c r="A665" s="278" t="s">
        <v>1248</v>
      </c>
      <c r="B665" s="278"/>
      <c r="C665" s="279" t="s">
        <v>1876</v>
      </c>
      <c r="D665" s="278" t="s">
        <v>1250</v>
      </c>
      <c r="E665" s="278" t="s">
        <v>251</v>
      </c>
      <c r="F665" s="278" t="s">
        <v>1364</v>
      </c>
      <c r="G665" s="280" t="s">
        <v>153</v>
      </c>
      <c r="H665" s="279" t="s">
        <v>1262</v>
      </c>
      <c r="I665" s="279" t="s">
        <v>1877</v>
      </c>
      <c r="J665" s="781">
        <v>23.45</v>
      </c>
      <c r="K665" s="782"/>
    </row>
    <row r="666" spans="1:11" ht="33" customHeight="1" thickBot="1" x14ac:dyDescent="0.25">
      <c r="A666" s="282" t="s">
        <v>1276</v>
      </c>
      <c r="B666" s="282"/>
      <c r="C666" s="283" t="s">
        <v>1878</v>
      </c>
      <c r="D666" s="282" t="s">
        <v>1250</v>
      </c>
      <c r="E666" s="282" t="s">
        <v>1879</v>
      </c>
      <c r="F666" s="282" t="s">
        <v>1278</v>
      </c>
      <c r="G666" s="284" t="s">
        <v>153</v>
      </c>
      <c r="H666" s="283" t="s">
        <v>1262</v>
      </c>
      <c r="I666" s="283" t="s">
        <v>1880</v>
      </c>
      <c r="J666" s="770">
        <v>364.73</v>
      </c>
      <c r="K666" s="771"/>
    </row>
    <row r="667" spans="1:11" ht="0.95" customHeight="1" thickTop="1" x14ac:dyDescent="0.2">
      <c r="A667" s="281"/>
      <c r="B667" s="281"/>
      <c r="C667" s="281"/>
      <c r="D667" s="281"/>
      <c r="E667" s="281"/>
      <c r="F667" s="281"/>
      <c r="G667" s="281"/>
      <c r="H667" s="281"/>
      <c r="I667" s="281"/>
      <c r="J667" s="421"/>
      <c r="K667" s="421"/>
    </row>
    <row r="668" spans="1:11" ht="18" customHeight="1" x14ac:dyDescent="0.2">
      <c r="A668" s="272"/>
      <c r="B668" s="272" t="s">
        <v>54</v>
      </c>
      <c r="C668" s="273" t="s">
        <v>1239</v>
      </c>
      <c r="D668" s="272" t="s">
        <v>1240</v>
      </c>
      <c r="E668" s="272" t="s">
        <v>1241</v>
      </c>
      <c r="F668" s="272" t="s">
        <v>1242</v>
      </c>
      <c r="G668" s="274" t="s">
        <v>60</v>
      </c>
      <c r="H668" s="273" t="s">
        <v>58</v>
      </c>
      <c r="I668" s="273" t="s">
        <v>1243</v>
      </c>
      <c r="J668" s="775" t="s">
        <v>196</v>
      </c>
      <c r="K668" s="776"/>
    </row>
    <row r="669" spans="1:11" ht="33" customHeight="1" x14ac:dyDescent="0.2">
      <c r="A669" s="275" t="s">
        <v>1244</v>
      </c>
      <c r="B669" s="275" t="s">
        <v>4137</v>
      </c>
      <c r="C669" s="276" t="s">
        <v>4138</v>
      </c>
      <c r="D669" s="275" t="s">
        <v>1246</v>
      </c>
      <c r="E669" s="275" t="s">
        <v>3075</v>
      </c>
      <c r="F669" s="275" t="s">
        <v>1364</v>
      </c>
      <c r="G669" s="277" t="s">
        <v>77</v>
      </c>
      <c r="H669" s="276">
        <v>1</v>
      </c>
      <c r="I669" s="276" t="s">
        <v>4139</v>
      </c>
      <c r="J669" s="777" t="s">
        <v>4139</v>
      </c>
      <c r="K669" s="778"/>
    </row>
    <row r="670" spans="1:11" ht="21.95" customHeight="1" x14ac:dyDescent="0.2">
      <c r="A670" s="278" t="s">
        <v>1248</v>
      </c>
      <c r="B670" s="278"/>
      <c r="C670" s="279" t="s">
        <v>1297</v>
      </c>
      <c r="D670" s="278" t="s">
        <v>1250</v>
      </c>
      <c r="E670" s="278" t="s">
        <v>1298</v>
      </c>
      <c r="F670" s="278" t="s">
        <v>1252</v>
      </c>
      <c r="G670" s="280" t="s">
        <v>1253</v>
      </c>
      <c r="H670" s="279" t="s">
        <v>1888</v>
      </c>
      <c r="I670" s="279" t="s">
        <v>1299</v>
      </c>
      <c r="J670" s="781">
        <v>3.23</v>
      </c>
      <c r="K670" s="782"/>
    </row>
    <row r="671" spans="1:11" ht="21.95" customHeight="1" x14ac:dyDescent="0.2">
      <c r="A671" s="278" t="s">
        <v>1248</v>
      </c>
      <c r="B671" s="278"/>
      <c r="C671" s="279" t="s">
        <v>1269</v>
      </c>
      <c r="D671" s="278" t="s">
        <v>1250</v>
      </c>
      <c r="E671" s="278" t="s">
        <v>1270</v>
      </c>
      <c r="F671" s="278" t="s">
        <v>1252</v>
      </c>
      <c r="G671" s="280" t="s">
        <v>1253</v>
      </c>
      <c r="H671" s="279" t="s">
        <v>1486</v>
      </c>
      <c r="I671" s="279" t="s">
        <v>1272</v>
      </c>
      <c r="J671" s="781">
        <v>5.98</v>
      </c>
      <c r="K671" s="782"/>
    </row>
    <row r="672" spans="1:11" ht="21.95" customHeight="1" x14ac:dyDescent="0.2">
      <c r="A672" s="278" t="s">
        <v>1248</v>
      </c>
      <c r="B672" s="278"/>
      <c r="C672" s="279" t="s">
        <v>1273</v>
      </c>
      <c r="D672" s="278" t="s">
        <v>1250</v>
      </c>
      <c r="E672" s="278" t="s">
        <v>1274</v>
      </c>
      <c r="F672" s="278" t="s">
        <v>1252</v>
      </c>
      <c r="G672" s="280" t="s">
        <v>1253</v>
      </c>
      <c r="H672" s="279" t="s">
        <v>1722</v>
      </c>
      <c r="I672" s="279" t="s">
        <v>1275</v>
      </c>
      <c r="J672" s="781">
        <v>11.8</v>
      </c>
      <c r="K672" s="782"/>
    </row>
    <row r="673" spans="1:11" ht="21.95" customHeight="1" x14ac:dyDescent="0.2">
      <c r="A673" s="278" t="s">
        <v>1248</v>
      </c>
      <c r="B673" s="278"/>
      <c r="C673" s="279" t="s">
        <v>1876</v>
      </c>
      <c r="D673" s="278" t="s">
        <v>1250</v>
      </c>
      <c r="E673" s="278" t="s">
        <v>251</v>
      </c>
      <c r="F673" s="278" t="s">
        <v>1364</v>
      </c>
      <c r="G673" s="280" t="s">
        <v>153</v>
      </c>
      <c r="H673" s="279" t="s">
        <v>1430</v>
      </c>
      <c r="I673" s="279" t="s">
        <v>1877</v>
      </c>
      <c r="J673" s="781">
        <v>1.4</v>
      </c>
      <c r="K673" s="782"/>
    </row>
    <row r="674" spans="1:11" ht="33" customHeight="1" x14ac:dyDescent="0.2">
      <c r="A674" s="278" t="s">
        <v>1248</v>
      </c>
      <c r="B674" s="278"/>
      <c r="C674" s="279" t="s">
        <v>1422</v>
      </c>
      <c r="D674" s="278" t="s">
        <v>1246</v>
      </c>
      <c r="E674" s="278" t="s">
        <v>252</v>
      </c>
      <c r="F674" s="278" t="s">
        <v>1364</v>
      </c>
      <c r="G674" s="280" t="s">
        <v>153</v>
      </c>
      <c r="H674" s="279" t="s">
        <v>1430</v>
      </c>
      <c r="I674" s="279" t="s">
        <v>1423</v>
      </c>
      <c r="J674" s="781">
        <v>18.75</v>
      </c>
      <c r="K674" s="782"/>
    </row>
    <row r="675" spans="1:11" ht="21.95" customHeight="1" x14ac:dyDescent="0.2">
      <c r="A675" s="282" t="s">
        <v>1276</v>
      </c>
      <c r="B675" s="282"/>
      <c r="C675" s="283" t="s">
        <v>4140</v>
      </c>
      <c r="D675" s="282" t="s">
        <v>1246</v>
      </c>
      <c r="E675" s="282" t="s">
        <v>3812</v>
      </c>
      <c r="F675" s="282" t="s">
        <v>1278</v>
      </c>
      <c r="G675" s="284" t="s">
        <v>77</v>
      </c>
      <c r="H675" s="283" t="s">
        <v>1262</v>
      </c>
      <c r="I675" s="283" t="s">
        <v>2198</v>
      </c>
      <c r="J675" s="779">
        <v>41.95</v>
      </c>
      <c r="K675" s="780"/>
    </row>
    <row r="676" spans="1:11" ht="21.95" customHeight="1" x14ac:dyDescent="0.2">
      <c r="A676" s="282" t="s">
        <v>1276</v>
      </c>
      <c r="B676" s="282"/>
      <c r="C676" s="283" t="s">
        <v>1583</v>
      </c>
      <c r="D676" s="282" t="s">
        <v>1250</v>
      </c>
      <c r="E676" s="282" t="s">
        <v>1584</v>
      </c>
      <c r="F676" s="282" t="s">
        <v>1278</v>
      </c>
      <c r="G676" s="284" t="s">
        <v>75</v>
      </c>
      <c r="H676" s="283" t="s">
        <v>1488</v>
      </c>
      <c r="I676" s="283" t="s">
        <v>1586</v>
      </c>
      <c r="J676" s="779">
        <v>4.75</v>
      </c>
      <c r="K676" s="780"/>
    </row>
    <row r="677" spans="1:11" ht="21.95" customHeight="1" x14ac:dyDescent="0.2">
      <c r="A677" s="282" t="s">
        <v>1276</v>
      </c>
      <c r="B677" s="282"/>
      <c r="C677" s="283" t="s">
        <v>4141</v>
      </c>
      <c r="D677" s="282" t="s">
        <v>1250</v>
      </c>
      <c r="E677" s="282" t="s">
        <v>4142</v>
      </c>
      <c r="F677" s="282" t="s">
        <v>1278</v>
      </c>
      <c r="G677" s="284" t="s">
        <v>71</v>
      </c>
      <c r="H677" s="283" t="s">
        <v>1443</v>
      </c>
      <c r="I677" s="283" t="s">
        <v>2501</v>
      </c>
      <c r="J677" s="779">
        <v>0.16</v>
      </c>
      <c r="K677" s="780"/>
    </row>
    <row r="678" spans="1:11" ht="21.95" customHeight="1" thickBot="1" x14ac:dyDescent="0.25">
      <c r="A678" s="282" t="s">
        <v>1276</v>
      </c>
      <c r="B678" s="282"/>
      <c r="C678" s="283" t="s">
        <v>1314</v>
      </c>
      <c r="D678" s="282" t="s">
        <v>1250</v>
      </c>
      <c r="E678" s="282" t="s">
        <v>1315</v>
      </c>
      <c r="F678" s="282" t="s">
        <v>1278</v>
      </c>
      <c r="G678" s="284" t="s">
        <v>75</v>
      </c>
      <c r="H678" s="283" t="s">
        <v>1356</v>
      </c>
      <c r="I678" s="283" t="s">
        <v>1316</v>
      </c>
      <c r="J678" s="770">
        <v>1.77</v>
      </c>
      <c r="K678" s="771"/>
    </row>
    <row r="679" spans="1:11" ht="0.95" customHeight="1" thickTop="1" x14ac:dyDescent="0.2">
      <c r="A679" s="281"/>
      <c r="B679" s="281"/>
      <c r="C679" s="281"/>
      <c r="D679" s="281"/>
      <c r="E679" s="281"/>
      <c r="F679" s="281"/>
      <c r="G679" s="281"/>
      <c r="H679" s="281"/>
      <c r="I679" s="281"/>
      <c r="J679" s="421"/>
      <c r="K679" s="421"/>
    </row>
    <row r="680" spans="1:11" ht="18" customHeight="1" x14ac:dyDescent="0.2">
      <c r="A680" s="272"/>
      <c r="B680" s="272" t="s">
        <v>54</v>
      </c>
      <c r="C680" s="273" t="s">
        <v>1239</v>
      </c>
      <c r="D680" s="272" t="s">
        <v>1240</v>
      </c>
      <c r="E680" s="272" t="s">
        <v>1241</v>
      </c>
      <c r="F680" s="272" t="s">
        <v>1242</v>
      </c>
      <c r="G680" s="274" t="s">
        <v>60</v>
      </c>
      <c r="H680" s="273" t="s">
        <v>58</v>
      </c>
      <c r="I680" s="273" t="s">
        <v>1243</v>
      </c>
      <c r="J680" s="775" t="s">
        <v>196</v>
      </c>
      <c r="K680" s="776"/>
    </row>
    <row r="681" spans="1:11" ht="21.95" customHeight="1" x14ac:dyDescent="0.2">
      <c r="A681" s="275" t="s">
        <v>1244</v>
      </c>
      <c r="B681" s="275" t="s">
        <v>4143</v>
      </c>
      <c r="C681" s="276" t="s">
        <v>1439</v>
      </c>
      <c r="D681" s="275" t="s">
        <v>1246</v>
      </c>
      <c r="E681" s="275" t="s">
        <v>264</v>
      </c>
      <c r="F681" s="275" t="s">
        <v>1364</v>
      </c>
      <c r="G681" s="277" t="s">
        <v>71</v>
      </c>
      <c r="H681" s="276">
        <v>1</v>
      </c>
      <c r="I681" s="276" t="s">
        <v>1440</v>
      </c>
      <c r="J681" s="777" t="s">
        <v>1440</v>
      </c>
      <c r="K681" s="778"/>
    </row>
    <row r="682" spans="1:11" ht="21.95" customHeight="1" x14ac:dyDescent="0.2">
      <c r="A682" s="278" t="s">
        <v>1248</v>
      </c>
      <c r="B682" s="278"/>
      <c r="C682" s="279" t="s">
        <v>1441</v>
      </c>
      <c r="D682" s="278" t="s">
        <v>1250</v>
      </c>
      <c r="E682" s="278" t="s">
        <v>1442</v>
      </c>
      <c r="F682" s="278" t="s">
        <v>1252</v>
      </c>
      <c r="G682" s="280" t="s">
        <v>1253</v>
      </c>
      <c r="H682" s="279" t="s">
        <v>1443</v>
      </c>
      <c r="I682" s="279" t="s">
        <v>1444</v>
      </c>
      <c r="J682" s="781">
        <v>0.32</v>
      </c>
      <c r="K682" s="782"/>
    </row>
    <row r="683" spans="1:11" ht="21.95" customHeight="1" x14ac:dyDescent="0.2">
      <c r="A683" s="278" t="s">
        <v>1248</v>
      </c>
      <c r="B683" s="278"/>
      <c r="C683" s="279" t="s">
        <v>1445</v>
      </c>
      <c r="D683" s="278" t="s">
        <v>1250</v>
      </c>
      <c r="E683" s="278" t="s">
        <v>1446</v>
      </c>
      <c r="F683" s="278" t="s">
        <v>1252</v>
      </c>
      <c r="G683" s="280" t="s">
        <v>1253</v>
      </c>
      <c r="H683" s="279" t="s">
        <v>1443</v>
      </c>
      <c r="I683" s="279" t="s">
        <v>1447</v>
      </c>
      <c r="J683" s="781">
        <v>0.26</v>
      </c>
      <c r="K683" s="782"/>
    </row>
    <row r="684" spans="1:11" ht="21.95" customHeight="1" x14ac:dyDescent="0.2">
      <c r="A684" s="278" t="s">
        <v>1248</v>
      </c>
      <c r="B684" s="278"/>
      <c r="C684" s="279" t="s">
        <v>1448</v>
      </c>
      <c r="D684" s="278" t="s">
        <v>1250</v>
      </c>
      <c r="E684" s="278" t="s">
        <v>1449</v>
      </c>
      <c r="F684" s="278" t="s">
        <v>1252</v>
      </c>
      <c r="G684" s="280" t="s">
        <v>1253</v>
      </c>
      <c r="H684" s="279" t="s">
        <v>1450</v>
      </c>
      <c r="I684" s="279" t="s">
        <v>1451</v>
      </c>
      <c r="J684" s="781">
        <v>0.05</v>
      </c>
      <c r="K684" s="782"/>
    </row>
    <row r="685" spans="1:11" ht="21.95" customHeight="1" x14ac:dyDescent="0.2">
      <c r="A685" s="278" t="s">
        <v>1248</v>
      </c>
      <c r="B685" s="278"/>
      <c r="C685" s="279" t="s">
        <v>1273</v>
      </c>
      <c r="D685" s="278" t="s">
        <v>1250</v>
      </c>
      <c r="E685" s="278" t="s">
        <v>1274</v>
      </c>
      <c r="F685" s="278" t="s">
        <v>1252</v>
      </c>
      <c r="G685" s="280" t="s">
        <v>1253</v>
      </c>
      <c r="H685" s="279" t="s">
        <v>1450</v>
      </c>
      <c r="I685" s="279" t="s">
        <v>1275</v>
      </c>
      <c r="J685" s="781">
        <v>0.04</v>
      </c>
      <c r="K685" s="782"/>
    </row>
    <row r="686" spans="1:11" ht="21.95" customHeight="1" x14ac:dyDescent="0.2">
      <c r="A686" s="278" t="s">
        <v>1248</v>
      </c>
      <c r="B686" s="278"/>
      <c r="C686" s="279" t="s">
        <v>1452</v>
      </c>
      <c r="D686" s="278" t="s">
        <v>1250</v>
      </c>
      <c r="E686" s="278" t="s">
        <v>1453</v>
      </c>
      <c r="F686" s="278" t="s">
        <v>1252</v>
      </c>
      <c r="G686" s="280" t="s">
        <v>1253</v>
      </c>
      <c r="H686" s="279" t="s">
        <v>1347</v>
      </c>
      <c r="I686" s="279" t="s">
        <v>1454</v>
      </c>
      <c r="J686" s="781">
        <v>0.35</v>
      </c>
      <c r="K686" s="782"/>
    </row>
    <row r="687" spans="1:11" ht="21.95" customHeight="1" x14ac:dyDescent="0.2">
      <c r="A687" s="278" t="s">
        <v>1248</v>
      </c>
      <c r="B687" s="278"/>
      <c r="C687" s="279" t="s">
        <v>1354</v>
      </c>
      <c r="D687" s="278" t="s">
        <v>1250</v>
      </c>
      <c r="E687" s="278" t="s">
        <v>1355</v>
      </c>
      <c r="F687" s="278" t="s">
        <v>1252</v>
      </c>
      <c r="G687" s="280" t="s">
        <v>1253</v>
      </c>
      <c r="H687" s="279" t="s">
        <v>1347</v>
      </c>
      <c r="I687" s="279" t="s">
        <v>1299</v>
      </c>
      <c r="J687" s="781">
        <v>0.68</v>
      </c>
      <c r="K687" s="782"/>
    </row>
    <row r="688" spans="1:11" ht="21.95" customHeight="1" x14ac:dyDescent="0.2">
      <c r="A688" s="282" t="s">
        <v>1276</v>
      </c>
      <c r="B688" s="282"/>
      <c r="C688" s="283" t="s">
        <v>1455</v>
      </c>
      <c r="D688" s="282" t="s">
        <v>1246</v>
      </c>
      <c r="E688" s="282" t="s">
        <v>733</v>
      </c>
      <c r="F688" s="282" t="s">
        <v>1278</v>
      </c>
      <c r="G688" s="284" t="s">
        <v>71</v>
      </c>
      <c r="H688" s="283" t="s">
        <v>1456</v>
      </c>
      <c r="I688" s="283" t="s">
        <v>1457</v>
      </c>
      <c r="J688" s="779">
        <v>2.56</v>
      </c>
      <c r="K688" s="780"/>
    </row>
    <row r="689" spans="1:11" ht="21.95" customHeight="1" x14ac:dyDescent="0.2">
      <c r="A689" s="282" t="s">
        <v>1276</v>
      </c>
      <c r="B689" s="282"/>
      <c r="C689" s="283" t="s">
        <v>1458</v>
      </c>
      <c r="D689" s="282" t="s">
        <v>1250</v>
      </c>
      <c r="E689" s="282" t="s">
        <v>1459</v>
      </c>
      <c r="F689" s="282" t="s">
        <v>1278</v>
      </c>
      <c r="G689" s="284" t="s">
        <v>75</v>
      </c>
      <c r="H689" s="283" t="s">
        <v>1460</v>
      </c>
      <c r="I689" s="283" t="s">
        <v>1461</v>
      </c>
      <c r="J689" s="779">
        <v>2.94</v>
      </c>
      <c r="K689" s="780"/>
    </row>
    <row r="690" spans="1:11" ht="21.95" customHeight="1" x14ac:dyDescent="0.2">
      <c r="A690" s="282" t="s">
        <v>1276</v>
      </c>
      <c r="B690" s="282"/>
      <c r="C690" s="283" t="s">
        <v>1462</v>
      </c>
      <c r="D690" s="282" t="s">
        <v>1250</v>
      </c>
      <c r="E690" s="282" t="s">
        <v>1463</v>
      </c>
      <c r="F690" s="282" t="s">
        <v>1278</v>
      </c>
      <c r="G690" s="284" t="s">
        <v>749</v>
      </c>
      <c r="H690" s="283" t="s">
        <v>1464</v>
      </c>
      <c r="I690" s="283" t="s">
        <v>1465</v>
      </c>
      <c r="J690" s="779">
        <v>0.04</v>
      </c>
      <c r="K690" s="780"/>
    </row>
    <row r="691" spans="1:11" ht="21.95" customHeight="1" x14ac:dyDescent="0.2">
      <c r="A691" s="282" t="s">
        <v>1276</v>
      </c>
      <c r="B691" s="282"/>
      <c r="C691" s="283" t="s">
        <v>1466</v>
      </c>
      <c r="D691" s="282" t="s">
        <v>1250</v>
      </c>
      <c r="E691" s="282" t="s">
        <v>1467</v>
      </c>
      <c r="F691" s="282" t="s">
        <v>1278</v>
      </c>
      <c r="G691" s="284" t="s">
        <v>71</v>
      </c>
      <c r="H691" s="283" t="s">
        <v>1468</v>
      </c>
      <c r="I691" s="283" t="s">
        <v>1469</v>
      </c>
      <c r="J691" s="779">
        <v>0.15</v>
      </c>
      <c r="K691" s="780"/>
    </row>
    <row r="692" spans="1:11" ht="21.95" customHeight="1" thickBot="1" x14ac:dyDescent="0.25">
      <c r="A692" s="282" t="s">
        <v>1276</v>
      </c>
      <c r="B692" s="282"/>
      <c r="C692" s="283" t="s">
        <v>1470</v>
      </c>
      <c r="D692" s="282" t="s">
        <v>1250</v>
      </c>
      <c r="E692" s="282" t="s">
        <v>1471</v>
      </c>
      <c r="F692" s="282" t="s">
        <v>1278</v>
      </c>
      <c r="G692" s="284" t="s">
        <v>749</v>
      </c>
      <c r="H692" s="283" t="s">
        <v>1472</v>
      </c>
      <c r="I692" s="283" t="s">
        <v>1473</v>
      </c>
      <c r="J692" s="770">
        <v>0</v>
      </c>
      <c r="K692" s="771"/>
    </row>
    <row r="693" spans="1:11" ht="0.95" customHeight="1" thickTop="1" x14ac:dyDescent="0.2">
      <c r="A693" s="281"/>
      <c r="B693" s="281"/>
      <c r="C693" s="281"/>
      <c r="D693" s="281"/>
      <c r="E693" s="281"/>
      <c r="F693" s="281"/>
      <c r="G693" s="281"/>
      <c r="H693" s="281"/>
      <c r="I693" s="281"/>
      <c r="J693" s="421"/>
      <c r="K693" s="421"/>
    </row>
    <row r="694" spans="1:11" ht="18" customHeight="1" x14ac:dyDescent="0.2">
      <c r="A694" s="272"/>
      <c r="B694" s="272" t="s">
        <v>54</v>
      </c>
      <c r="C694" s="273" t="s">
        <v>1239</v>
      </c>
      <c r="D694" s="272" t="s">
        <v>1240</v>
      </c>
      <c r="E694" s="272" t="s">
        <v>1241</v>
      </c>
      <c r="F694" s="272" t="s">
        <v>1242</v>
      </c>
      <c r="G694" s="274" t="s">
        <v>60</v>
      </c>
      <c r="H694" s="273" t="s">
        <v>58</v>
      </c>
      <c r="I694" s="273" t="s">
        <v>1243</v>
      </c>
      <c r="J694" s="775" t="s">
        <v>196</v>
      </c>
      <c r="K694" s="776"/>
    </row>
    <row r="695" spans="1:11" ht="21.95" customHeight="1" x14ac:dyDescent="0.2">
      <c r="A695" s="275" t="s">
        <v>1244</v>
      </c>
      <c r="B695" s="275" t="s">
        <v>4144</v>
      </c>
      <c r="C695" s="276" t="s">
        <v>1474</v>
      </c>
      <c r="D695" s="275" t="s">
        <v>1246</v>
      </c>
      <c r="E695" s="275" t="s">
        <v>266</v>
      </c>
      <c r="F695" s="275" t="s">
        <v>1364</v>
      </c>
      <c r="G695" s="277" t="s">
        <v>71</v>
      </c>
      <c r="H695" s="276">
        <v>1</v>
      </c>
      <c r="I695" s="276" t="s">
        <v>1475</v>
      </c>
      <c r="J695" s="777" t="s">
        <v>1475</v>
      </c>
      <c r="K695" s="778"/>
    </row>
    <row r="696" spans="1:11" ht="21.95" customHeight="1" x14ac:dyDescent="0.2">
      <c r="A696" s="278" t="s">
        <v>1248</v>
      </c>
      <c r="B696" s="278"/>
      <c r="C696" s="279" t="s">
        <v>1476</v>
      </c>
      <c r="D696" s="278" t="s">
        <v>1250</v>
      </c>
      <c r="E696" s="278" t="s">
        <v>1477</v>
      </c>
      <c r="F696" s="278" t="s">
        <v>1252</v>
      </c>
      <c r="G696" s="280" t="s">
        <v>1253</v>
      </c>
      <c r="H696" s="279" t="s">
        <v>1443</v>
      </c>
      <c r="I696" s="279" t="s">
        <v>1478</v>
      </c>
      <c r="J696" s="781">
        <v>0.22</v>
      </c>
      <c r="K696" s="782"/>
    </row>
    <row r="697" spans="1:11" ht="21.95" customHeight="1" x14ac:dyDescent="0.2">
      <c r="A697" s="278" t="s">
        <v>1248</v>
      </c>
      <c r="B697" s="278"/>
      <c r="C697" s="279" t="s">
        <v>1452</v>
      </c>
      <c r="D697" s="278" t="s">
        <v>1250</v>
      </c>
      <c r="E697" s="278" t="s">
        <v>1453</v>
      </c>
      <c r="F697" s="278" t="s">
        <v>1252</v>
      </c>
      <c r="G697" s="280" t="s">
        <v>1253</v>
      </c>
      <c r="H697" s="279" t="s">
        <v>1430</v>
      </c>
      <c r="I697" s="279" t="s">
        <v>1454</v>
      </c>
      <c r="J697" s="781">
        <v>0.52</v>
      </c>
      <c r="K697" s="782"/>
    </row>
    <row r="698" spans="1:11" ht="33" customHeight="1" thickBot="1" x14ac:dyDescent="0.25">
      <c r="A698" s="278" t="s">
        <v>1248</v>
      </c>
      <c r="B698" s="278"/>
      <c r="C698" s="279" t="s">
        <v>1479</v>
      </c>
      <c r="D698" s="278" t="s">
        <v>1250</v>
      </c>
      <c r="E698" s="278" t="s">
        <v>1480</v>
      </c>
      <c r="F698" s="278" t="s">
        <v>1481</v>
      </c>
      <c r="G698" s="280" t="s">
        <v>1482</v>
      </c>
      <c r="H698" s="279" t="s">
        <v>1483</v>
      </c>
      <c r="I698" s="279" t="s">
        <v>1484</v>
      </c>
      <c r="J698" s="784">
        <v>1.38</v>
      </c>
      <c r="K698" s="785"/>
    </row>
    <row r="699" spans="1:11" ht="0.95" customHeight="1" thickTop="1" x14ac:dyDescent="0.2">
      <c r="A699" s="281"/>
      <c r="B699" s="281"/>
      <c r="C699" s="281"/>
      <c r="D699" s="281"/>
      <c r="E699" s="281"/>
      <c r="F699" s="281"/>
      <c r="G699" s="281"/>
      <c r="H699" s="281"/>
      <c r="I699" s="281"/>
      <c r="J699" s="421"/>
      <c r="K699" s="421"/>
    </row>
    <row r="700" spans="1:11" ht="18" customHeight="1" x14ac:dyDescent="0.2">
      <c r="A700" s="272"/>
      <c r="B700" s="272" t="s">
        <v>54</v>
      </c>
      <c r="C700" s="273" t="s">
        <v>1239</v>
      </c>
      <c r="D700" s="272" t="s">
        <v>1240</v>
      </c>
      <c r="E700" s="272" t="s">
        <v>1241</v>
      </c>
      <c r="F700" s="272" t="s">
        <v>1242</v>
      </c>
      <c r="G700" s="274" t="s">
        <v>60</v>
      </c>
      <c r="H700" s="273" t="s">
        <v>58</v>
      </c>
      <c r="I700" s="273" t="s">
        <v>1243</v>
      </c>
      <c r="J700" s="775" t="s">
        <v>196</v>
      </c>
      <c r="K700" s="776"/>
    </row>
    <row r="701" spans="1:11" ht="33" customHeight="1" x14ac:dyDescent="0.2">
      <c r="A701" s="275" t="s">
        <v>1244</v>
      </c>
      <c r="B701" s="275" t="s">
        <v>4145</v>
      </c>
      <c r="C701" s="276" t="s">
        <v>1873</v>
      </c>
      <c r="D701" s="275" t="s">
        <v>1246</v>
      </c>
      <c r="E701" s="275" t="s">
        <v>578</v>
      </c>
      <c r="F701" s="275" t="s">
        <v>1874</v>
      </c>
      <c r="G701" s="277" t="s">
        <v>153</v>
      </c>
      <c r="H701" s="276">
        <v>1</v>
      </c>
      <c r="I701" s="276" t="s">
        <v>1875</v>
      </c>
      <c r="J701" s="777" t="s">
        <v>1875</v>
      </c>
      <c r="K701" s="778"/>
    </row>
    <row r="702" spans="1:11" ht="21.95" customHeight="1" x14ac:dyDescent="0.2">
      <c r="A702" s="278" t="s">
        <v>1248</v>
      </c>
      <c r="B702" s="278"/>
      <c r="C702" s="279" t="s">
        <v>1876</v>
      </c>
      <c r="D702" s="278" t="s">
        <v>1250</v>
      </c>
      <c r="E702" s="278" t="s">
        <v>251</v>
      </c>
      <c r="F702" s="278" t="s">
        <v>1364</v>
      </c>
      <c r="G702" s="280" t="s">
        <v>153</v>
      </c>
      <c r="H702" s="279" t="s">
        <v>1262</v>
      </c>
      <c r="I702" s="279" t="s">
        <v>1877</v>
      </c>
      <c r="J702" s="781">
        <v>23.45</v>
      </c>
      <c r="K702" s="782"/>
    </row>
    <row r="703" spans="1:11" ht="33" customHeight="1" thickBot="1" x14ac:dyDescent="0.25">
      <c r="A703" s="282" t="s">
        <v>1276</v>
      </c>
      <c r="B703" s="282"/>
      <c r="C703" s="283" t="s">
        <v>1878</v>
      </c>
      <c r="D703" s="282" t="s">
        <v>1250</v>
      </c>
      <c r="E703" s="282" t="s">
        <v>1879</v>
      </c>
      <c r="F703" s="282" t="s">
        <v>1278</v>
      </c>
      <c r="G703" s="284" t="s">
        <v>153</v>
      </c>
      <c r="H703" s="283" t="s">
        <v>1262</v>
      </c>
      <c r="I703" s="283" t="s">
        <v>1880</v>
      </c>
      <c r="J703" s="770">
        <v>364.73</v>
      </c>
      <c r="K703" s="771"/>
    </row>
    <row r="704" spans="1:11" ht="0.95" customHeight="1" thickTop="1" x14ac:dyDescent="0.2">
      <c r="A704" s="281"/>
      <c r="B704" s="281"/>
      <c r="C704" s="281"/>
      <c r="D704" s="281"/>
      <c r="E704" s="281"/>
      <c r="F704" s="281"/>
      <c r="G704" s="281"/>
      <c r="H704" s="281"/>
      <c r="I704" s="281"/>
      <c r="J704" s="421"/>
      <c r="K704" s="421"/>
    </row>
    <row r="705" spans="1:11" ht="18" customHeight="1" x14ac:dyDescent="0.2">
      <c r="A705" s="272"/>
      <c r="B705" s="272" t="s">
        <v>54</v>
      </c>
      <c r="C705" s="273" t="s">
        <v>1239</v>
      </c>
      <c r="D705" s="272" t="s">
        <v>1240</v>
      </c>
      <c r="E705" s="272" t="s">
        <v>1241</v>
      </c>
      <c r="F705" s="272" t="s">
        <v>1242</v>
      </c>
      <c r="G705" s="274" t="s">
        <v>60</v>
      </c>
      <c r="H705" s="273" t="s">
        <v>58</v>
      </c>
      <c r="I705" s="273" t="s">
        <v>1243</v>
      </c>
      <c r="J705" s="775" t="s">
        <v>196</v>
      </c>
      <c r="K705" s="776"/>
    </row>
    <row r="706" spans="1:11" ht="33" customHeight="1" x14ac:dyDescent="0.2">
      <c r="A706" s="275" t="s">
        <v>1244</v>
      </c>
      <c r="B706" s="275" t="s">
        <v>4146</v>
      </c>
      <c r="C706" s="276" t="s">
        <v>1873</v>
      </c>
      <c r="D706" s="275" t="s">
        <v>1246</v>
      </c>
      <c r="E706" s="275" t="s">
        <v>578</v>
      </c>
      <c r="F706" s="275" t="s">
        <v>1874</v>
      </c>
      <c r="G706" s="277" t="s">
        <v>153</v>
      </c>
      <c r="H706" s="276">
        <v>1</v>
      </c>
      <c r="I706" s="276" t="s">
        <v>1875</v>
      </c>
      <c r="J706" s="777" t="s">
        <v>1875</v>
      </c>
      <c r="K706" s="778"/>
    </row>
    <row r="707" spans="1:11" ht="21.95" customHeight="1" x14ac:dyDescent="0.2">
      <c r="A707" s="278" t="s">
        <v>1248</v>
      </c>
      <c r="B707" s="278"/>
      <c r="C707" s="279" t="s">
        <v>1876</v>
      </c>
      <c r="D707" s="278" t="s">
        <v>1250</v>
      </c>
      <c r="E707" s="278" t="s">
        <v>251</v>
      </c>
      <c r="F707" s="278" t="s">
        <v>1364</v>
      </c>
      <c r="G707" s="280" t="s">
        <v>153</v>
      </c>
      <c r="H707" s="279" t="s">
        <v>1262</v>
      </c>
      <c r="I707" s="279" t="s">
        <v>1877</v>
      </c>
      <c r="J707" s="781">
        <v>23.45</v>
      </c>
      <c r="K707" s="782"/>
    </row>
    <row r="708" spans="1:11" ht="33" customHeight="1" thickBot="1" x14ac:dyDescent="0.25">
      <c r="A708" s="282" t="s">
        <v>1276</v>
      </c>
      <c r="B708" s="282"/>
      <c r="C708" s="283" t="s">
        <v>1878</v>
      </c>
      <c r="D708" s="282" t="s">
        <v>1250</v>
      </c>
      <c r="E708" s="282" t="s">
        <v>1879</v>
      </c>
      <c r="F708" s="282" t="s">
        <v>1278</v>
      </c>
      <c r="G708" s="284" t="s">
        <v>153</v>
      </c>
      <c r="H708" s="283" t="s">
        <v>1262</v>
      </c>
      <c r="I708" s="283" t="s">
        <v>1880</v>
      </c>
      <c r="J708" s="770">
        <v>364.73</v>
      </c>
      <c r="K708" s="771"/>
    </row>
    <row r="709" spans="1:11" ht="0.95" customHeight="1" thickTop="1" x14ac:dyDescent="0.2">
      <c r="A709" s="281"/>
      <c r="B709" s="281"/>
      <c r="C709" s="281"/>
      <c r="D709" s="281"/>
      <c r="E709" s="281"/>
      <c r="F709" s="281"/>
      <c r="G709" s="281"/>
      <c r="H709" s="281"/>
      <c r="I709" s="281"/>
      <c r="J709" s="421"/>
      <c r="K709" s="421"/>
    </row>
    <row r="710" spans="1:11" ht="18" customHeight="1" x14ac:dyDescent="0.2">
      <c r="A710" s="272"/>
      <c r="B710" s="272" t="s">
        <v>54</v>
      </c>
      <c r="C710" s="273" t="s">
        <v>1239</v>
      </c>
      <c r="D710" s="272" t="s">
        <v>1240</v>
      </c>
      <c r="E710" s="272" t="s">
        <v>1241</v>
      </c>
      <c r="F710" s="272" t="s">
        <v>1242</v>
      </c>
      <c r="G710" s="274" t="s">
        <v>60</v>
      </c>
      <c r="H710" s="273" t="s">
        <v>58</v>
      </c>
      <c r="I710" s="273" t="s">
        <v>1243</v>
      </c>
      <c r="J710" s="775" t="s">
        <v>196</v>
      </c>
      <c r="K710" s="776"/>
    </row>
    <row r="711" spans="1:11" ht="44.1" customHeight="1" x14ac:dyDescent="0.2">
      <c r="A711" s="275" t="s">
        <v>1244</v>
      </c>
      <c r="B711" s="275" t="s">
        <v>4147</v>
      </c>
      <c r="C711" s="276" t="s">
        <v>2138</v>
      </c>
      <c r="D711" s="275" t="s">
        <v>1246</v>
      </c>
      <c r="E711" s="275" t="s">
        <v>2139</v>
      </c>
      <c r="F711" s="275" t="s">
        <v>1364</v>
      </c>
      <c r="G711" s="277" t="s">
        <v>71</v>
      </c>
      <c r="H711" s="276">
        <v>1</v>
      </c>
      <c r="I711" s="276" t="s">
        <v>2141</v>
      </c>
      <c r="J711" s="777" t="s">
        <v>2141</v>
      </c>
      <c r="K711" s="778"/>
    </row>
    <row r="712" spans="1:11" ht="21.95" customHeight="1" x14ac:dyDescent="0.2">
      <c r="A712" s="278" t="s">
        <v>1248</v>
      </c>
      <c r="B712" s="278"/>
      <c r="C712" s="279" t="s">
        <v>1706</v>
      </c>
      <c r="D712" s="278" t="s">
        <v>1250</v>
      </c>
      <c r="E712" s="278" t="s">
        <v>1707</v>
      </c>
      <c r="F712" s="278" t="s">
        <v>1252</v>
      </c>
      <c r="G712" s="280" t="s">
        <v>1253</v>
      </c>
      <c r="H712" s="279" t="s">
        <v>2503</v>
      </c>
      <c r="I712" s="279" t="s">
        <v>1708</v>
      </c>
      <c r="J712" s="781">
        <v>0.39</v>
      </c>
      <c r="K712" s="782"/>
    </row>
    <row r="713" spans="1:11" ht="21.95" customHeight="1" x14ac:dyDescent="0.2">
      <c r="A713" s="278" t="s">
        <v>1248</v>
      </c>
      <c r="B713" s="278"/>
      <c r="C713" s="279" t="s">
        <v>1427</v>
      </c>
      <c r="D713" s="278" t="s">
        <v>1250</v>
      </c>
      <c r="E713" s="278" t="s">
        <v>1428</v>
      </c>
      <c r="F713" s="278" t="s">
        <v>1252</v>
      </c>
      <c r="G713" s="280" t="s">
        <v>1253</v>
      </c>
      <c r="H713" s="279" t="s">
        <v>2504</v>
      </c>
      <c r="I713" s="279" t="s">
        <v>1299</v>
      </c>
      <c r="J713" s="781">
        <v>2.96</v>
      </c>
      <c r="K713" s="782"/>
    </row>
    <row r="714" spans="1:11" ht="33" customHeight="1" x14ac:dyDescent="0.2">
      <c r="A714" s="278" t="s">
        <v>1248</v>
      </c>
      <c r="B714" s="278"/>
      <c r="C714" s="279" t="s">
        <v>2505</v>
      </c>
      <c r="D714" s="278" t="s">
        <v>1250</v>
      </c>
      <c r="E714" s="278" t="s">
        <v>2506</v>
      </c>
      <c r="F714" s="278" t="s">
        <v>1364</v>
      </c>
      <c r="G714" s="280" t="s">
        <v>71</v>
      </c>
      <c r="H714" s="279" t="s">
        <v>1262</v>
      </c>
      <c r="I714" s="279" t="s">
        <v>1618</v>
      </c>
      <c r="J714" s="781">
        <v>8.0500000000000007</v>
      </c>
      <c r="K714" s="782"/>
    </row>
    <row r="715" spans="1:11" ht="21.95" customHeight="1" x14ac:dyDescent="0.2">
      <c r="A715" s="282" t="s">
        <v>1276</v>
      </c>
      <c r="B715" s="282"/>
      <c r="C715" s="283" t="s">
        <v>1431</v>
      </c>
      <c r="D715" s="282" t="s">
        <v>1250</v>
      </c>
      <c r="E715" s="282" t="s">
        <v>1432</v>
      </c>
      <c r="F715" s="282" t="s">
        <v>1278</v>
      </c>
      <c r="G715" s="284" t="s">
        <v>71</v>
      </c>
      <c r="H715" s="283" t="s">
        <v>1339</v>
      </c>
      <c r="I715" s="283" t="s">
        <v>1434</v>
      </c>
      <c r="J715" s="779">
        <v>0.21</v>
      </c>
      <c r="K715" s="780"/>
    </row>
    <row r="716" spans="1:11" ht="33" customHeight="1" thickBot="1" x14ac:dyDescent="0.25">
      <c r="A716" s="282" t="s">
        <v>1276</v>
      </c>
      <c r="B716" s="282"/>
      <c r="C716" s="283" t="s">
        <v>2481</v>
      </c>
      <c r="D716" s="282" t="s">
        <v>1250</v>
      </c>
      <c r="E716" s="282" t="s">
        <v>2482</v>
      </c>
      <c r="F716" s="282" t="s">
        <v>1278</v>
      </c>
      <c r="G716" s="284" t="s">
        <v>52</v>
      </c>
      <c r="H716" s="283" t="s">
        <v>2507</v>
      </c>
      <c r="I716" s="283" t="s">
        <v>2484</v>
      </c>
      <c r="J716" s="770">
        <v>0.15</v>
      </c>
      <c r="K716" s="771"/>
    </row>
    <row r="717" spans="1:11" ht="0.95" customHeight="1" thickTop="1" x14ac:dyDescent="0.2">
      <c r="A717" s="281"/>
      <c r="B717" s="281"/>
      <c r="C717" s="281"/>
      <c r="D717" s="281"/>
      <c r="E717" s="281"/>
      <c r="F717" s="281"/>
      <c r="G717" s="281"/>
      <c r="H717" s="281"/>
      <c r="I717" s="281"/>
      <c r="J717" s="421"/>
      <c r="K717" s="421"/>
    </row>
    <row r="718" spans="1:11" ht="18" customHeight="1" x14ac:dyDescent="0.2">
      <c r="A718" s="272"/>
      <c r="B718" s="272" t="s">
        <v>54</v>
      </c>
      <c r="C718" s="273" t="s">
        <v>1239</v>
      </c>
      <c r="D718" s="272" t="s">
        <v>1240</v>
      </c>
      <c r="E718" s="272" t="s">
        <v>1241</v>
      </c>
      <c r="F718" s="272" t="s">
        <v>1242</v>
      </c>
      <c r="G718" s="274" t="s">
        <v>60</v>
      </c>
      <c r="H718" s="273" t="s">
        <v>58</v>
      </c>
      <c r="I718" s="273" t="s">
        <v>1243</v>
      </c>
      <c r="J718" s="775" t="s">
        <v>196</v>
      </c>
      <c r="K718" s="776"/>
    </row>
    <row r="719" spans="1:11" ht="44.1" customHeight="1" x14ac:dyDescent="0.2">
      <c r="A719" s="275" t="s">
        <v>1244</v>
      </c>
      <c r="B719" s="275" t="s">
        <v>4148</v>
      </c>
      <c r="C719" s="276" t="s">
        <v>2146</v>
      </c>
      <c r="D719" s="275" t="s">
        <v>1246</v>
      </c>
      <c r="E719" s="275" t="s">
        <v>2147</v>
      </c>
      <c r="F719" s="275" t="s">
        <v>1364</v>
      </c>
      <c r="G719" s="277" t="s">
        <v>71</v>
      </c>
      <c r="H719" s="276">
        <v>1</v>
      </c>
      <c r="I719" s="276" t="s">
        <v>1376</v>
      </c>
      <c r="J719" s="777" t="s">
        <v>1376</v>
      </c>
      <c r="K719" s="778"/>
    </row>
    <row r="720" spans="1:11" ht="21.95" customHeight="1" x14ac:dyDescent="0.2">
      <c r="A720" s="278" t="s">
        <v>1248</v>
      </c>
      <c r="B720" s="278"/>
      <c r="C720" s="279" t="s">
        <v>1706</v>
      </c>
      <c r="D720" s="278" t="s">
        <v>1250</v>
      </c>
      <c r="E720" s="278" t="s">
        <v>1707</v>
      </c>
      <c r="F720" s="278" t="s">
        <v>1252</v>
      </c>
      <c r="G720" s="280" t="s">
        <v>1253</v>
      </c>
      <c r="H720" s="279" t="s">
        <v>2497</v>
      </c>
      <c r="I720" s="279" t="s">
        <v>1708</v>
      </c>
      <c r="J720" s="781">
        <v>0.22</v>
      </c>
      <c r="K720" s="782"/>
    </row>
    <row r="721" spans="1:11" ht="21.95" customHeight="1" x14ac:dyDescent="0.2">
      <c r="A721" s="278" t="s">
        <v>1248</v>
      </c>
      <c r="B721" s="278"/>
      <c r="C721" s="279" t="s">
        <v>1427</v>
      </c>
      <c r="D721" s="278" t="s">
        <v>1250</v>
      </c>
      <c r="E721" s="278" t="s">
        <v>1428</v>
      </c>
      <c r="F721" s="278" t="s">
        <v>1252</v>
      </c>
      <c r="G721" s="280" t="s">
        <v>1253</v>
      </c>
      <c r="H721" s="279" t="s">
        <v>2498</v>
      </c>
      <c r="I721" s="279" t="s">
        <v>1299</v>
      </c>
      <c r="J721" s="781">
        <v>1.68</v>
      </c>
      <c r="K721" s="782"/>
    </row>
    <row r="722" spans="1:11" ht="33" customHeight="1" x14ac:dyDescent="0.2">
      <c r="A722" s="278" t="s">
        <v>1248</v>
      </c>
      <c r="B722" s="278"/>
      <c r="C722" s="279" t="s">
        <v>2499</v>
      </c>
      <c r="D722" s="278" t="s">
        <v>1250</v>
      </c>
      <c r="E722" s="278" t="s">
        <v>2500</v>
      </c>
      <c r="F722" s="278" t="s">
        <v>1364</v>
      </c>
      <c r="G722" s="280" t="s">
        <v>71</v>
      </c>
      <c r="H722" s="279" t="s">
        <v>1262</v>
      </c>
      <c r="I722" s="279" t="s">
        <v>2501</v>
      </c>
      <c r="J722" s="781">
        <v>8.18</v>
      </c>
      <c r="K722" s="782"/>
    </row>
    <row r="723" spans="1:11" ht="21.95" customHeight="1" x14ac:dyDescent="0.2">
      <c r="A723" s="282" t="s">
        <v>1276</v>
      </c>
      <c r="B723" s="282"/>
      <c r="C723" s="283" t="s">
        <v>1431</v>
      </c>
      <c r="D723" s="282" t="s">
        <v>1250</v>
      </c>
      <c r="E723" s="282" t="s">
        <v>1432</v>
      </c>
      <c r="F723" s="282" t="s">
        <v>1278</v>
      </c>
      <c r="G723" s="284" t="s">
        <v>71</v>
      </c>
      <c r="H723" s="283" t="s">
        <v>1339</v>
      </c>
      <c r="I723" s="283" t="s">
        <v>1434</v>
      </c>
      <c r="J723" s="779">
        <v>0.21</v>
      </c>
      <c r="K723" s="780"/>
    </row>
    <row r="724" spans="1:11" ht="33" customHeight="1" thickBot="1" x14ac:dyDescent="0.25">
      <c r="A724" s="282" t="s">
        <v>1276</v>
      </c>
      <c r="B724" s="282"/>
      <c r="C724" s="283" t="s">
        <v>2481</v>
      </c>
      <c r="D724" s="282" t="s">
        <v>1250</v>
      </c>
      <c r="E724" s="282" t="s">
        <v>2482</v>
      </c>
      <c r="F724" s="282" t="s">
        <v>1278</v>
      </c>
      <c r="G724" s="284" t="s">
        <v>52</v>
      </c>
      <c r="H724" s="283" t="s">
        <v>2502</v>
      </c>
      <c r="I724" s="283" t="s">
        <v>2484</v>
      </c>
      <c r="J724" s="770">
        <v>0.09</v>
      </c>
      <c r="K724" s="771"/>
    </row>
    <row r="725" spans="1:11" ht="0.95" customHeight="1" thickTop="1" x14ac:dyDescent="0.2">
      <c r="A725" s="281"/>
      <c r="B725" s="281"/>
      <c r="C725" s="281"/>
      <c r="D725" s="281"/>
      <c r="E725" s="281"/>
      <c r="F725" s="281"/>
      <c r="G725" s="281"/>
      <c r="H725" s="281"/>
      <c r="I725" s="281"/>
      <c r="J725" s="421"/>
      <c r="K725" s="421"/>
    </row>
    <row r="726" spans="1:11" ht="18" customHeight="1" x14ac:dyDescent="0.2">
      <c r="A726" s="272"/>
      <c r="B726" s="272" t="s">
        <v>54</v>
      </c>
      <c r="C726" s="273" t="s">
        <v>1239</v>
      </c>
      <c r="D726" s="272" t="s">
        <v>1240</v>
      </c>
      <c r="E726" s="272" t="s">
        <v>1241</v>
      </c>
      <c r="F726" s="272" t="s">
        <v>1242</v>
      </c>
      <c r="G726" s="274" t="s">
        <v>60</v>
      </c>
      <c r="H726" s="273" t="s">
        <v>58</v>
      </c>
      <c r="I726" s="273" t="s">
        <v>1243</v>
      </c>
      <c r="J726" s="775" t="s">
        <v>196</v>
      </c>
      <c r="K726" s="776"/>
    </row>
    <row r="727" spans="1:11" ht="44.1" customHeight="1" x14ac:dyDescent="0.2">
      <c r="A727" s="275" t="s">
        <v>1244</v>
      </c>
      <c r="B727" s="275" t="s">
        <v>4149</v>
      </c>
      <c r="C727" s="276" t="s">
        <v>2149</v>
      </c>
      <c r="D727" s="275" t="s">
        <v>1246</v>
      </c>
      <c r="E727" s="275" t="s">
        <v>2150</v>
      </c>
      <c r="F727" s="275" t="s">
        <v>1364</v>
      </c>
      <c r="G727" s="277" t="s">
        <v>71</v>
      </c>
      <c r="H727" s="276">
        <v>1</v>
      </c>
      <c r="I727" s="276" t="s">
        <v>2152</v>
      </c>
      <c r="J727" s="777" t="s">
        <v>2152</v>
      </c>
      <c r="K727" s="778"/>
    </row>
    <row r="728" spans="1:11" ht="21.95" customHeight="1" x14ac:dyDescent="0.2">
      <c r="A728" s="278" t="s">
        <v>1248</v>
      </c>
      <c r="B728" s="278"/>
      <c r="C728" s="279" t="s">
        <v>1706</v>
      </c>
      <c r="D728" s="278" t="s">
        <v>1250</v>
      </c>
      <c r="E728" s="278" t="s">
        <v>1707</v>
      </c>
      <c r="F728" s="278" t="s">
        <v>1252</v>
      </c>
      <c r="G728" s="280" t="s">
        <v>1253</v>
      </c>
      <c r="H728" s="279" t="s">
        <v>2471</v>
      </c>
      <c r="I728" s="279" t="s">
        <v>1708</v>
      </c>
      <c r="J728" s="781">
        <v>0.16</v>
      </c>
      <c r="K728" s="782"/>
    </row>
    <row r="729" spans="1:11" ht="21.95" customHeight="1" x14ac:dyDescent="0.2">
      <c r="A729" s="278" t="s">
        <v>1248</v>
      </c>
      <c r="B729" s="278"/>
      <c r="C729" s="279" t="s">
        <v>1427</v>
      </c>
      <c r="D729" s="278" t="s">
        <v>1250</v>
      </c>
      <c r="E729" s="278" t="s">
        <v>1428</v>
      </c>
      <c r="F729" s="278" t="s">
        <v>1252</v>
      </c>
      <c r="G729" s="280" t="s">
        <v>1253</v>
      </c>
      <c r="H729" s="279" t="s">
        <v>2472</v>
      </c>
      <c r="I729" s="279" t="s">
        <v>1299</v>
      </c>
      <c r="J729" s="781">
        <v>1.26</v>
      </c>
      <c r="K729" s="782"/>
    </row>
    <row r="730" spans="1:11" ht="33" customHeight="1" x14ac:dyDescent="0.2">
      <c r="A730" s="278" t="s">
        <v>1248</v>
      </c>
      <c r="B730" s="278"/>
      <c r="C730" s="279" t="s">
        <v>2473</v>
      </c>
      <c r="D730" s="278" t="s">
        <v>1250</v>
      </c>
      <c r="E730" s="278" t="s">
        <v>2474</v>
      </c>
      <c r="F730" s="278" t="s">
        <v>1364</v>
      </c>
      <c r="G730" s="280" t="s">
        <v>71</v>
      </c>
      <c r="H730" s="279" t="s">
        <v>1262</v>
      </c>
      <c r="I730" s="279" t="s">
        <v>2475</v>
      </c>
      <c r="J730" s="781">
        <v>6.75</v>
      </c>
      <c r="K730" s="782"/>
    </row>
    <row r="731" spans="1:11" ht="21.95" customHeight="1" thickBot="1" x14ac:dyDescent="0.25">
      <c r="A731" s="282" t="s">
        <v>1276</v>
      </c>
      <c r="B731" s="282"/>
      <c r="C731" s="283" t="s">
        <v>1431</v>
      </c>
      <c r="D731" s="282" t="s">
        <v>1250</v>
      </c>
      <c r="E731" s="282" t="s">
        <v>1432</v>
      </c>
      <c r="F731" s="282" t="s">
        <v>1278</v>
      </c>
      <c r="G731" s="284" t="s">
        <v>71</v>
      </c>
      <c r="H731" s="283" t="s">
        <v>1339</v>
      </c>
      <c r="I731" s="283" t="s">
        <v>1434</v>
      </c>
      <c r="J731" s="770">
        <v>0.21</v>
      </c>
      <c r="K731" s="771"/>
    </row>
    <row r="732" spans="1:11" ht="0.95" customHeight="1" thickTop="1" x14ac:dyDescent="0.2">
      <c r="A732" s="281"/>
      <c r="B732" s="281"/>
      <c r="C732" s="281"/>
      <c r="D732" s="281"/>
      <c r="E732" s="281"/>
      <c r="F732" s="281"/>
      <c r="G732" s="281"/>
      <c r="H732" s="281"/>
      <c r="I732" s="281"/>
      <c r="J732" s="421"/>
      <c r="K732" s="421"/>
    </row>
    <row r="733" spans="1:11" ht="18" customHeight="1" x14ac:dyDescent="0.2">
      <c r="A733" s="272"/>
      <c r="B733" s="272" t="s">
        <v>54</v>
      </c>
      <c r="C733" s="273" t="s">
        <v>1239</v>
      </c>
      <c r="D733" s="272" t="s">
        <v>1240</v>
      </c>
      <c r="E733" s="272" t="s">
        <v>1241</v>
      </c>
      <c r="F733" s="272" t="s">
        <v>1242</v>
      </c>
      <c r="G733" s="274" t="s">
        <v>60</v>
      </c>
      <c r="H733" s="273" t="s">
        <v>58</v>
      </c>
      <c r="I733" s="273" t="s">
        <v>1243</v>
      </c>
      <c r="J733" s="775" t="s">
        <v>196</v>
      </c>
      <c r="K733" s="776"/>
    </row>
    <row r="734" spans="1:11" ht="33" customHeight="1" x14ac:dyDescent="0.2">
      <c r="A734" s="275" t="s">
        <v>1244</v>
      </c>
      <c r="B734" s="275" t="s">
        <v>4150</v>
      </c>
      <c r="C734" s="276" t="s">
        <v>1873</v>
      </c>
      <c r="D734" s="275" t="s">
        <v>1246</v>
      </c>
      <c r="E734" s="275" t="s">
        <v>578</v>
      </c>
      <c r="F734" s="275" t="s">
        <v>1874</v>
      </c>
      <c r="G734" s="277" t="s">
        <v>153</v>
      </c>
      <c r="H734" s="276">
        <v>1</v>
      </c>
      <c r="I734" s="276" t="s">
        <v>1875</v>
      </c>
      <c r="J734" s="777" t="s">
        <v>1875</v>
      </c>
      <c r="K734" s="778"/>
    </row>
    <row r="735" spans="1:11" ht="21.95" customHeight="1" x14ac:dyDescent="0.2">
      <c r="A735" s="278" t="s">
        <v>1248</v>
      </c>
      <c r="B735" s="278"/>
      <c r="C735" s="279" t="s">
        <v>1876</v>
      </c>
      <c r="D735" s="278" t="s">
        <v>1250</v>
      </c>
      <c r="E735" s="278" t="s">
        <v>251</v>
      </c>
      <c r="F735" s="278" t="s">
        <v>1364</v>
      </c>
      <c r="G735" s="280" t="s">
        <v>153</v>
      </c>
      <c r="H735" s="279" t="s">
        <v>1262</v>
      </c>
      <c r="I735" s="279" t="s">
        <v>1877</v>
      </c>
      <c r="J735" s="781">
        <v>23.45</v>
      </c>
      <c r="K735" s="782"/>
    </row>
    <row r="736" spans="1:11" ht="33" customHeight="1" thickBot="1" x14ac:dyDescent="0.25">
      <c r="A736" s="282" t="s">
        <v>1276</v>
      </c>
      <c r="B736" s="282"/>
      <c r="C736" s="283" t="s">
        <v>1878</v>
      </c>
      <c r="D736" s="282" t="s">
        <v>1250</v>
      </c>
      <c r="E736" s="282" t="s">
        <v>1879</v>
      </c>
      <c r="F736" s="282" t="s">
        <v>1278</v>
      </c>
      <c r="G736" s="284" t="s">
        <v>153</v>
      </c>
      <c r="H736" s="283" t="s">
        <v>1262</v>
      </c>
      <c r="I736" s="283" t="s">
        <v>1880</v>
      </c>
      <c r="J736" s="770">
        <v>364.73</v>
      </c>
      <c r="K736" s="771"/>
    </row>
    <row r="737" spans="1:11" ht="0.95" customHeight="1" thickTop="1" x14ac:dyDescent="0.2">
      <c r="A737" s="281"/>
      <c r="B737" s="281"/>
      <c r="C737" s="281"/>
      <c r="D737" s="281"/>
      <c r="E737" s="281"/>
      <c r="F737" s="281"/>
      <c r="G737" s="281"/>
      <c r="H737" s="281"/>
      <c r="I737" s="281"/>
      <c r="J737" s="421"/>
      <c r="K737" s="421"/>
    </row>
    <row r="738" spans="1:11" ht="18" customHeight="1" x14ac:dyDescent="0.2">
      <c r="A738" s="272"/>
      <c r="B738" s="272" t="s">
        <v>54</v>
      </c>
      <c r="C738" s="273" t="s">
        <v>1239</v>
      </c>
      <c r="D738" s="272" t="s">
        <v>1240</v>
      </c>
      <c r="E738" s="272" t="s">
        <v>1241</v>
      </c>
      <c r="F738" s="272" t="s">
        <v>1242</v>
      </c>
      <c r="G738" s="274" t="s">
        <v>60</v>
      </c>
      <c r="H738" s="273" t="s">
        <v>58</v>
      </c>
      <c r="I738" s="273" t="s">
        <v>1243</v>
      </c>
      <c r="J738" s="775" t="s">
        <v>196</v>
      </c>
      <c r="K738" s="776"/>
    </row>
    <row r="739" spans="1:11" ht="33" customHeight="1" x14ac:dyDescent="0.2">
      <c r="A739" s="275" t="s">
        <v>1244</v>
      </c>
      <c r="B739" s="275" t="s">
        <v>4151</v>
      </c>
      <c r="C739" s="276" t="s">
        <v>1873</v>
      </c>
      <c r="D739" s="275" t="s">
        <v>1246</v>
      </c>
      <c r="E739" s="275" t="s">
        <v>578</v>
      </c>
      <c r="F739" s="275" t="s">
        <v>1874</v>
      </c>
      <c r="G739" s="277" t="s">
        <v>153</v>
      </c>
      <c r="H739" s="276">
        <v>1</v>
      </c>
      <c r="I739" s="276" t="s">
        <v>1875</v>
      </c>
      <c r="J739" s="777" t="s">
        <v>1875</v>
      </c>
      <c r="K739" s="778"/>
    </row>
    <row r="740" spans="1:11" ht="21.95" customHeight="1" x14ac:dyDescent="0.2">
      <c r="A740" s="278" t="s">
        <v>1248</v>
      </c>
      <c r="B740" s="278"/>
      <c r="C740" s="279" t="s">
        <v>1876</v>
      </c>
      <c r="D740" s="278" t="s">
        <v>1250</v>
      </c>
      <c r="E740" s="278" t="s">
        <v>251</v>
      </c>
      <c r="F740" s="278" t="s">
        <v>1364</v>
      </c>
      <c r="G740" s="280" t="s">
        <v>153</v>
      </c>
      <c r="H740" s="279" t="s">
        <v>1262</v>
      </c>
      <c r="I740" s="279" t="s">
        <v>1877</v>
      </c>
      <c r="J740" s="781">
        <v>23.45</v>
      </c>
      <c r="K740" s="782"/>
    </row>
    <row r="741" spans="1:11" ht="33" customHeight="1" thickBot="1" x14ac:dyDescent="0.25">
      <c r="A741" s="282" t="s">
        <v>1276</v>
      </c>
      <c r="B741" s="282"/>
      <c r="C741" s="283" t="s">
        <v>1878</v>
      </c>
      <c r="D741" s="282" t="s">
        <v>1250</v>
      </c>
      <c r="E741" s="282" t="s">
        <v>1879</v>
      </c>
      <c r="F741" s="282" t="s">
        <v>1278</v>
      </c>
      <c r="G741" s="284" t="s">
        <v>153</v>
      </c>
      <c r="H741" s="283" t="s">
        <v>1262</v>
      </c>
      <c r="I741" s="283" t="s">
        <v>1880</v>
      </c>
      <c r="J741" s="770">
        <v>364.73</v>
      </c>
      <c r="K741" s="771"/>
    </row>
    <row r="742" spans="1:11" ht="0.95" customHeight="1" thickTop="1" x14ac:dyDescent="0.2">
      <c r="A742" s="281"/>
      <c r="B742" s="281"/>
      <c r="C742" s="281"/>
      <c r="D742" s="281"/>
      <c r="E742" s="281"/>
      <c r="F742" s="281"/>
      <c r="G742" s="281"/>
      <c r="H742" s="281"/>
      <c r="I742" s="281"/>
      <c r="J742" s="421"/>
      <c r="K742" s="421"/>
    </row>
    <row r="743" spans="1:11" ht="18" customHeight="1" x14ac:dyDescent="0.2">
      <c r="A743" s="272"/>
      <c r="B743" s="272" t="s">
        <v>54</v>
      </c>
      <c r="C743" s="273" t="s">
        <v>1239</v>
      </c>
      <c r="D743" s="272" t="s">
        <v>1240</v>
      </c>
      <c r="E743" s="272" t="s">
        <v>1241</v>
      </c>
      <c r="F743" s="272" t="s">
        <v>1242</v>
      </c>
      <c r="G743" s="274" t="s">
        <v>60</v>
      </c>
      <c r="H743" s="273" t="s">
        <v>58</v>
      </c>
      <c r="I743" s="273" t="s">
        <v>1243</v>
      </c>
      <c r="J743" s="775" t="s">
        <v>196</v>
      </c>
      <c r="K743" s="776"/>
    </row>
    <row r="744" spans="1:11" ht="21.95" customHeight="1" x14ac:dyDescent="0.2">
      <c r="A744" s="275" t="s">
        <v>1244</v>
      </c>
      <c r="B744" s="275" t="s">
        <v>4152</v>
      </c>
      <c r="C744" s="276" t="s">
        <v>1439</v>
      </c>
      <c r="D744" s="275" t="s">
        <v>1246</v>
      </c>
      <c r="E744" s="275" t="s">
        <v>264</v>
      </c>
      <c r="F744" s="275" t="s">
        <v>1364</v>
      </c>
      <c r="G744" s="277" t="s">
        <v>71</v>
      </c>
      <c r="H744" s="276">
        <v>1</v>
      </c>
      <c r="I744" s="276" t="s">
        <v>1440</v>
      </c>
      <c r="J744" s="777" t="s">
        <v>1440</v>
      </c>
      <c r="K744" s="778"/>
    </row>
    <row r="745" spans="1:11" ht="21.95" customHeight="1" x14ac:dyDescent="0.2">
      <c r="A745" s="278" t="s">
        <v>1248</v>
      </c>
      <c r="B745" s="278"/>
      <c r="C745" s="279" t="s">
        <v>1441</v>
      </c>
      <c r="D745" s="278" t="s">
        <v>1250</v>
      </c>
      <c r="E745" s="278" t="s">
        <v>1442</v>
      </c>
      <c r="F745" s="278" t="s">
        <v>1252</v>
      </c>
      <c r="G745" s="280" t="s">
        <v>1253</v>
      </c>
      <c r="H745" s="279" t="s">
        <v>1443</v>
      </c>
      <c r="I745" s="279" t="s">
        <v>1444</v>
      </c>
      <c r="J745" s="781">
        <v>0.32</v>
      </c>
      <c r="K745" s="782"/>
    </row>
    <row r="746" spans="1:11" ht="21.95" customHeight="1" x14ac:dyDescent="0.2">
      <c r="A746" s="278" t="s">
        <v>1248</v>
      </c>
      <c r="B746" s="278"/>
      <c r="C746" s="279" t="s">
        <v>1445</v>
      </c>
      <c r="D746" s="278" t="s">
        <v>1250</v>
      </c>
      <c r="E746" s="278" t="s">
        <v>1446</v>
      </c>
      <c r="F746" s="278" t="s">
        <v>1252</v>
      </c>
      <c r="G746" s="280" t="s">
        <v>1253</v>
      </c>
      <c r="H746" s="279" t="s">
        <v>1443</v>
      </c>
      <c r="I746" s="279" t="s">
        <v>1447</v>
      </c>
      <c r="J746" s="781">
        <v>0.26</v>
      </c>
      <c r="K746" s="782"/>
    </row>
    <row r="747" spans="1:11" ht="21.95" customHeight="1" x14ac:dyDescent="0.2">
      <c r="A747" s="278" t="s">
        <v>1248</v>
      </c>
      <c r="B747" s="278"/>
      <c r="C747" s="279" t="s">
        <v>1448</v>
      </c>
      <c r="D747" s="278" t="s">
        <v>1250</v>
      </c>
      <c r="E747" s="278" t="s">
        <v>1449</v>
      </c>
      <c r="F747" s="278" t="s">
        <v>1252</v>
      </c>
      <c r="G747" s="280" t="s">
        <v>1253</v>
      </c>
      <c r="H747" s="279" t="s">
        <v>1450</v>
      </c>
      <c r="I747" s="279" t="s">
        <v>1451</v>
      </c>
      <c r="J747" s="781">
        <v>0.05</v>
      </c>
      <c r="K747" s="782"/>
    </row>
    <row r="748" spans="1:11" ht="21.95" customHeight="1" x14ac:dyDescent="0.2">
      <c r="A748" s="278" t="s">
        <v>1248</v>
      </c>
      <c r="B748" s="278"/>
      <c r="C748" s="279" t="s">
        <v>1273</v>
      </c>
      <c r="D748" s="278" t="s">
        <v>1250</v>
      </c>
      <c r="E748" s="278" t="s">
        <v>1274</v>
      </c>
      <c r="F748" s="278" t="s">
        <v>1252</v>
      </c>
      <c r="G748" s="280" t="s">
        <v>1253</v>
      </c>
      <c r="H748" s="279" t="s">
        <v>1450</v>
      </c>
      <c r="I748" s="279" t="s">
        <v>1275</v>
      </c>
      <c r="J748" s="781">
        <v>0.04</v>
      </c>
      <c r="K748" s="782"/>
    </row>
    <row r="749" spans="1:11" ht="21.95" customHeight="1" x14ac:dyDescent="0.2">
      <c r="A749" s="278" t="s">
        <v>1248</v>
      </c>
      <c r="B749" s="278"/>
      <c r="C749" s="279" t="s">
        <v>1452</v>
      </c>
      <c r="D749" s="278" t="s">
        <v>1250</v>
      </c>
      <c r="E749" s="278" t="s">
        <v>1453</v>
      </c>
      <c r="F749" s="278" t="s">
        <v>1252</v>
      </c>
      <c r="G749" s="280" t="s">
        <v>1253</v>
      </c>
      <c r="H749" s="279" t="s">
        <v>1347</v>
      </c>
      <c r="I749" s="279" t="s">
        <v>1454</v>
      </c>
      <c r="J749" s="781">
        <v>0.35</v>
      </c>
      <c r="K749" s="782"/>
    </row>
    <row r="750" spans="1:11" ht="21.95" customHeight="1" x14ac:dyDescent="0.2">
      <c r="A750" s="278" t="s">
        <v>1248</v>
      </c>
      <c r="B750" s="278"/>
      <c r="C750" s="279" t="s">
        <v>1354</v>
      </c>
      <c r="D750" s="278" t="s">
        <v>1250</v>
      </c>
      <c r="E750" s="278" t="s">
        <v>1355</v>
      </c>
      <c r="F750" s="278" t="s">
        <v>1252</v>
      </c>
      <c r="G750" s="280" t="s">
        <v>1253</v>
      </c>
      <c r="H750" s="279" t="s">
        <v>1347</v>
      </c>
      <c r="I750" s="279" t="s">
        <v>1299</v>
      </c>
      <c r="J750" s="781">
        <v>0.68</v>
      </c>
      <c r="K750" s="782"/>
    </row>
    <row r="751" spans="1:11" ht="21.95" customHeight="1" x14ac:dyDescent="0.2">
      <c r="A751" s="282" t="s">
        <v>1276</v>
      </c>
      <c r="B751" s="282"/>
      <c r="C751" s="283" t="s">
        <v>1455</v>
      </c>
      <c r="D751" s="282" t="s">
        <v>1246</v>
      </c>
      <c r="E751" s="282" t="s">
        <v>733</v>
      </c>
      <c r="F751" s="282" t="s">
        <v>1278</v>
      </c>
      <c r="G751" s="284" t="s">
        <v>71</v>
      </c>
      <c r="H751" s="283" t="s">
        <v>1456</v>
      </c>
      <c r="I751" s="283" t="s">
        <v>1457</v>
      </c>
      <c r="J751" s="779">
        <v>2.56</v>
      </c>
      <c r="K751" s="780"/>
    </row>
    <row r="752" spans="1:11" ht="21.95" customHeight="1" x14ac:dyDescent="0.2">
      <c r="A752" s="282" t="s">
        <v>1276</v>
      </c>
      <c r="B752" s="282"/>
      <c r="C752" s="283" t="s">
        <v>1458</v>
      </c>
      <c r="D752" s="282" t="s">
        <v>1250</v>
      </c>
      <c r="E752" s="282" t="s">
        <v>1459</v>
      </c>
      <c r="F752" s="282" t="s">
        <v>1278</v>
      </c>
      <c r="G752" s="284" t="s">
        <v>75</v>
      </c>
      <c r="H752" s="283" t="s">
        <v>1460</v>
      </c>
      <c r="I752" s="283" t="s">
        <v>1461</v>
      </c>
      <c r="J752" s="779">
        <v>2.94</v>
      </c>
      <c r="K752" s="780"/>
    </row>
    <row r="753" spans="1:11" ht="21.95" customHeight="1" x14ac:dyDescent="0.2">
      <c r="A753" s="282" t="s">
        <v>1276</v>
      </c>
      <c r="B753" s="282"/>
      <c r="C753" s="283" t="s">
        <v>1462</v>
      </c>
      <c r="D753" s="282" t="s">
        <v>1250</v>
      </c>
      <c r="E753" s="282" t="s">
        <v>1463</v>
      </c>
      <c r="F753" s="282" t="s">
        <v>1278</v>
      </c>
      <c r="G753" s="284" t="s">
        <v>749</v>
      </c>
      <c r="H753" s="283" t="s">
        <v>1464</v>
      </c>
      <c r="I753" s="283" t="s">
        <v>1465</v>
      </c>
      <c r="J753" s="779">
        <v>0.04</v>
      </c>
      <c r="K753" s="780"/>
    </row>
    <row r="754" spans="1:11" ht="21.95" customHeight="1" x14ac:dyDescent="0.2">
      <c r="A754" s="282" t="s">
        <v>1276</v>
      </c>
      <c r="B754" s="282"/>
      <c r="C754" s="283" t="s">
        <v>1466</v>
      </c>
      <c r="D754" s="282" t="s">
        <v>1250</v>
      </c>
      <c r="E754" s="282" t="s">
        <v>1467</v>
      </c>
      <c r="F754" s="282" t="s">
        <v>1278</v>
      </c>
      <c r="G754" s="284" t="s">
        <v>71</v>
      </c>
      <c r="H754" s="283" t="s">
        <v>1468</v>
      </c>
      <c r="I754" s="283" t="s">
        <v>1469</v>
      </c>
      <c r="J754" s="779">
        <v>0.15</v>
      </c>
      <c r="K754" s="780"/>
    </row>
    <row r="755" spans="1:11" ht="21.95" customHeight="1" thickBot="1" x14ac:dyDescent="0.25">
      <c r="A755" s="282" t="s">
        <v>1276</v>
      </c>
      <c r="B755" s="282"/>
      <c r="C755" s="283" t="s">
        <v>1470</v>
      </c>
      <c r="D755" s="282" t="s">
        <v>1250</v>
      </c>
      <c r="E755" s="282" t="s">
        <v>1471</v>
      </c>
      <c r="F755" s="282" t="s">
        <v>1278</v>
      </c>
      <c r="G755" s="284" t="s">
        <v>749</v>
      </c>
      <c r="H755" s="283" t="s">
        <v>1472</v>
      </c>
      <c r="I755" s="283" t="s">
        <v>1473</v>
      </c>
      <c r="J755" s="770">
        <v>0</v>
      </c>
      <c r="K755" s="771"/>
    </row>
    <row r="756" spans="1:11" ht="0.95" customHeight="1" thickTop="1" x14ac:dyDescent="0.2">
      <c r="A756" s="281"/>
      <c r="B756" s="281"/>
      <c r="C756" s="281"/>
      <c r="D756" s="281"/>
      <c r="E756" s="281"/>
      <c r="F756" s="281"/>
      <c r="G756" s="281"/>
      <c r="H756" s="281"/>
      <c r="I756" s="281"/>
      <c r="J756" s="421"/>
      <c r="K756" s="421"/>
    </row>
    <row r="757" spans="1:11" ht="18" customHeight="1" x14ac:dyDescent="0.2">
      <c r="A757" s="272"/>
      <c r="B757" s="272" t="s">
        <v>54</v>
      </c>
      <c r="C757" s="273" t="s">
        <v>1239</v>
      </c>
      <c r="D757" s="272" t="s">
        <v>1240</v>
      </c>
      <c r="E757" s="272" t="s">
        <v>1241</v>
      </c>
      <c r="F757" s="272" t="s">
        <v>1242</v>
      </c>
      <c r="G757" s="274" t="s">
        <v>60</v>
      </c>
      <c r="H757" s="273" t="s">
        <v>58</v>
      </c>
      <c r="I757" s="273" t="s">
        <v>1243</v>
      </c>
      <c r="J757" s="775" t="s">
        <v>196</v>
      </c>
      <c r="K757" s="776"/>
    </row>
    <row r="758" spans="1:11" ht="21.95" customHeight="1" x14ac:dyDescent="0.2">
      <c r="A758" s="275" t="s">
        <v>1244</v>
      </c>
      <c r="B758" s="275" t="s">
        <v>4153</v>
      </c>
      <c r="C758" s="276" t="s">
        <v>1474</v>
      </c>
      <c r="D758" s="275" t="s">
        <v>1246</v>
      </c>
      <c r="E758" s="275" t="s">
        <v>266</v>
      </c>
      <c r="F758" s="275" t="s">
        <v>1364</v>
      </c>
      <c r="G758" s="277" t="s">
        <v>71</v>
      </c>
      <c r="H758" s="276">
        <v>1</v>
      </c>
      <c r="I758" s="276" t="s">
        <v>1475</v>
      </c>
      <c r="J758" s="777" t="s">
        <v>1475</v>
      </c>
      <c r="K758" s="778"/>
    </row>
    <row r="759" spans="1:11" ht="21.95" customHeight="1" x14ac:dyDescent="0.2">
      <c r="A759" s="278" t="s">
        <v>1248</v>
      </c>
      <c r="B759" s="278"/>
      <c r="C759" s="279" t="s">
        <v>1476</v>
      </c>
      <c r="D759" s="278" t="s">
        <v>1250</v>
      </c>
      <c r="E759" s="278" t="s">
        <v>1477</v>
      </c>
      <c r="F759" s="278" t="s">
        <v>1252</v>
      </c>
      <c r="G759" s="280" t="s">
        <v>1253</v>
      </c>
      <c r="H759" s="279" t="s">
        <v>1443</v>
      </c>
      <c r="I759" s="279" t="s">
        <v>1478</v>
      </c>
      <c r="J759" s="781">
        <v>0.22</v>
      </c>
      <c r="K759" s="782"/>
    </row>
    <row r="760" spans="1:11" ht="21.95" customHeight="1" x14ac:dyDescent="0.2">
      <c r="A760" s="278" t="s">
        <v>1248</v>
      </c>
      <c r="B760" s="278"/>
      <c r="C760" s="279" t="s">
        <v>1452</v>
      </c>
      <c r="D760" s="278" t="s">
        <v>1250</v>
      </c>
      <c r="E760" s="278" t="s">
        <v>1453</v>
      </c>
      <c r="F760" s="278" t="s">
        <v>1252</v>
      </c>
      <c r="G760" s="280" t="s">
        <v>1253</v>
      </c>
      <c r="H760" s="279" t="s">
        <v>1430</v>
      </c>
      <c r="I760" s="279" t="s">
        <v>1454</v>
      </c>
      <c r="J760" s="781">
        <v>0.52</v>
      </c>
      <c r="K760" s="782"/>
    </row>
    <row r="761" spans="1:11" ht="33" customHeight="1" thickBot="1" x14ac:dyDescent="0.25">
      <c r="A761" s="278" t="s">
        <v>1248</v>
      </c>
      <c r="B761" s="278"/>
      <c r="C761" s="279" t="s">
        <v>1479</v>
      </c>
      <c r="D761" s="278" t="s">
        <v>1250</v>
      </c>
      <c r="E761" s="278" t="s">
        <v>1480</v>
      </c>
      <c r="F761" s="278" t="s">
        <v>1481</v>
      </c>
      <c r="G761" s="280" t="s">
        <v>1482</v>
      </c>
      <c r="H761" s="279" t="s">
        <v>1483</v>
      </c>
      <c r="I761" s="279" t="s">
        <v>1484</v>
      </c>
      <c r="J761" s="784">
        <v>1.38</v>
      </c>
      <c r="K761" s="785"/>
    </row>
    <row r="762" spans="1:11" ht="0.95" customHeight="1" thickTop="1" x14ac:dyDescent="0.2">
      <c r="A762" s="281"/>
      <c r="B762" s="281"/>
      <c r="C762" s="281"/>
      <c r="D762" s="281"/>
      <c r="E762" s="281"/>
      <c r="F762" s="281"/>
      <c r="G762" s="281"/>
      <c r="H762" s="281"/>
      <c r="I762" s="281"/>
      <c r="J762" s="421"/>
      <c r="K762" s="421"/>
    </row>
    <row r="763" spans="1:11" ht="18" customHeight="1" x14ac:dyDescent="0.2">
      <c r="A763" s="272"/>
      <c r="B763" s="272" t="s">
        <v>54</v>
      </c>
      <c r="C763" s="273" t="s">
        <v>1239</v>
      </c>
      <c r="D763" s="272" t="s">
        <v>1240</v>
      </c>
      <c r="E763" s="272" t="s">
        <v>1241</v>
      </c>
      <c r="F763" s="272" t="s">
        <v>1242</v>
      </c>
      <c r="G763" s="274" t="s">
        <v>60</v>
      </c>
      <c r="H763" s="273" t="s">
        <v>58</v>
      </c>
      <c r="I763" s="273" t="s">
        <v>1243</v>
      </c>
      <c r="J763" s="775" t="s">
        <v>196</v>
      </c>
      <c r="K763" s="776"/>
    </row>
    <row r="764" spans="1:11" ht="21.95" customHeight="1" x14ac:dyDescent="0.2">
      <c r="A764" s="275" t="s">
        <v>1244</v>
      </c>
      <c r="B764" s="275" t="s">
        <v>4154</v>
      </c>
      <c r="C764" s="276" t="s">
        <v>1869</v>
      </c>
      <c r="D764" s="275" t="s">
        <v>1246</v>
      </c>
      <c r="E764" s="275" t="s">
        <v>298</v>
      </c>
      <c r="F764" s="275" t="s">
        <v>1385</v>
      </c>
      <c r="G764" s="277" t="s">
        <v>153</v>
      </c>
      <c r="H764" s="276">
        <v>1</v>
      </c>
      <c r="I764" s="276" t="s">
        <v>1870</v>
      </c>
      <c r="J764" s="777" t="s">
        <v>1870</v>
      </c>
      <c r="K764" s="778"/>
    </row>
    <row r="765" spans="1:11" ht="21.95" customHeight="1" thickBot="1" x14ac:dyDescent="0.25">
      <c r="A765" s="282" t="s">
        <v>1276</v>
      </c>
      <c r="B765" s="282"/>
      <c r="C765" s="283" t="s">
        <v>1871</v>
      </c>
      <c r="D765" s="282" t="s">
        <v>1250</v>
      </c>
      <c r="E765" s="282" t="s">
        <v>1872</v>
      </c>
      <c r="F765" s="282" t="s">
        <v>1278</v>
      </c>
      <c r="G765" s="284" t="s">
        <v>153</v>
      </c>
      <c r="H765" s="283" t="s">
        <v>1262</v>
      </c>
      <c r="I765" s="283" t="s">
        <v>1870</v>
      </c>
      <c r="J765" s="770">
        <v>27.91</v>
      </c>
      <c r="K765" s="771"/>
    </row>
    <row r="766" spans="1:11" ht="0.95" customHeight="1" thickTop="1" x14ac:dyDescent="0.2">
      <c r="A766" s="281"/>
      <c r="B766" s="281"/>
      <c r="C766" s="281"/>
      <c r="D766" s="281"/>
      <c r="E766" s="281"/>
      <c r="F766" s="281"/>
      <c r="G766" s="281"/>
      <c r="H766" s="281"/>
      <c r="I766" s="281"/>
      <c r="J766" s="421"/>
      <c r="K766" s="421"/>
    </row>
    <row r="767" spans="1:11" ht="18" customHeight="1" x14ac:dyDescent="0.2">
      <c r="A767" s="272"/>
      <c r="B767" s="272" t="s">
        <v>54</v>
      </c>
      <c r="C767" s="273" t="s">
        <v>1239</v>
      </c>
      <c r="D767" s="272" t="s">
        <v>1240</v>
      </c>
      <c r="E767" s="272" t="s">
        <v>1241</v>
      </c>
      <c r="F767" s="272" t="s">
        <v>1242</v>
      </c>
      <c r="G767" s="274" t="s">
        <v>60</v>
      </c>
      <c r="H767" s="273" t="s">
        <v>58</v>
      </c>
      <c r="I767" s="273" t="s">
        <v>1243</v>
      </c>
      <c r="J767" s="775" t="s">
        <v>196</v>
      </c>
      <c r="K767" s="776"/>
    </row>
    <row r="768" spans="1:11" ht="21.95" customHeight="1" x14ac:dyDescent="0.2">
      <c r="A768" s="275" t="s">
        <v>1244</v>
      </c>
      <c r="B768" s="275" t="s">
        <v>4155</v>
      </c>
      <c r="C768" s="276" t="s">
        <v>1415</v>
      </c>
      <c r="D768" s="275" t="s">
        <v>1246</v>
      </c>
      <c r="E768" s="275" t="s">
        <v>421</v>
      </c>
      <c r="F768" s="275" t="s">
        <v>1252</v>
      </c>
      <c r="G768" s="277" t="s">
        <v>153</v>
      </c>
      <c r="H768" s="276">
        <v>1</v>
      </c>
      <c r="I768" s="276" t="s">
        <v>1416</v>
      </c>
      <c r="J768" s="777" t="s">
        <v>1416</v>
      </c>
      <c r="K768" s="778"/>
    </row>
    <row r="769" spans="1:11" ht="21.95" customHeight="1" x14ac:dyDescent="0.2">
      <c r="A769" s="278" t="s">
        <v>1248</v>
      </c>
      <c r="B769" s="278"/>
      <c r="C769" s="279" t="s">
        <v>1273</v>
      </c>
      <c r="D769" s="278" t="s">
        <v>1250</v>
      </c>
      <c r="E769" s="278" t="s">
        <v>1274</v>
      </c>
      <c r="F769" s="278" t="s">
        <v>1252</v>
      </c>
      <c r="G769" s="280" t="s">
        <v>1253</v>
      </c>
      <c r="H769" s="279" t="s">
        <v>1417</v>
      </c>
      <c r="I769" s="279" t="s">
        <v>1275</v>
      </c>
      <c r="J769" s="781">
        <v>27.78</v>
      </c>
      <c r="K769" s="782"/>
    </row>
    <row r="770" spans="1:11" ht="21.95" customHeight="1" thickBot="1" x14ac:dyDescent="0.25">
      <c r="A770" s="282" t="s">
        <v>1276</v>
      </c>
      <c r="B770" s="282"/>
      <c r="C770" s="283" t="s">
        <v>1418</v>
      </c>
      <c r="D770" s="282" t="s">
        <v>1250</v>
      </c>
      <c r="E770" s="282" t="s">
        <v>1419</v>
      </c>
      <c r="F770" s="282" t="s">
        <v>1278</v>
      </c>
      <c r="G770" s="284" t="s">
        <v>153</v>
      </c>
      <c r="H770" s="283" t="s">
        <v>1420</v>
      </c>
      <c r="I770" s="283" t="s">
        <v>1421</v>
      </c>
      <c r="J770" s="770">
        <v>57.93</v>
      </c>
      <c r="K770" s="771"/>
    </row>
    <row r="771" spans="1:11" ht="0.95" customHeight="1" thickTop="1" x14ac:dyDescent="0.2">
      <c r="A771" s="281"/>
      <c r="B771" s="281"/>
      <c r="C771" s="281"/>
      <c r="D771" s="281"/>
      <c r="E771" s="281"/>
      <c r="F771" s="281"/>
      <c r="G771" s="281"/>
      <c r="H771" s="281"/>
      <c r="I771" s="281"/>
      <c r="J771" s="421"/>
      <c r="K771" s="421"/>
    </row>
    <row r="772" spans="1:11" ht="18" customHeight="1" x14ac:dyDescent="0.2">
      <c r="A772" s="272"/>
      <c r="B772" s="272" t="s">
        <v>54</v>
      </c>
      <c r="C772" s="273" t="s">
        <v>1239</v>
      </c>
      <c r="D772" s="272" t="s">
        <v>1240</v>
      </c>
      <c r="E772" s="272" t="s">
        <v>1241</v>
      </c>
      <c r="F772" s="272" t="s">
        <v>1242</v>
      </c>
      <c r="G772" s="274" t="s">
        <v>60</v>
      </c>
      <c r="H772" s="273" t="s">
        <v>58</v>
      </c>
      <c r="I772" s="273" t="s">
        <v>1243</v>
      </c>
      <c r="J772" s="775" t="s">
        <v>196</v>
      </c>
      <c r="K772" s="776"/>
    </row>
    <row r="773" spans="1:11" ht="33" customHeight="1" x14ac:dyDescent="0.2">
      <c r="A773" s="275" t="s">
        <v>1244</v>
      </c>
      <c r="B773" s="275" t="s">
        <v>4156</v>
      </c>
      <c r="C773" s="276" t="s">
        <v>1873</v>
      </c>
      <c r="D773" s="275" t="s">
        <v>1246</v>
      </c>
      <c r="E773" s="275" t="s">
        <v>578</v>
      </c>
      <c r="F773" s="275" t="s">
        <v>1874</v>
      </c>
      <c r="G773" s="277" t="s">
        <v>153</v>
      </c>
      <c r="H773" s="276">
        <v>1</v>
      </c>
      <c r="I773" s="276" t="s">
        <v>1875</v>
      </c>
      <c r="J773" s="777" t="s">
        <v>1875</v>
      </c>
      <c r="K773" s="778"/>
    </row>
    <row r="774" spans="1:11" ht="21.95" customHeight="1" x14ac:dyDescent="0.2">
      <c r="A774" s="278" t="s">
        <v>1248</v>
      </c>
      <c r="B774" s="278"/>
      <c r="C774" s="279" t="s">
        <v>1876</v>
      </c>
      <c r="D774" s="278" t="s">
        <v>1250</v>
      </c>
      <c r="E774" s="278" t="s">
        <v>251</v>
      </c>
      <c r="F774" s="278" t="s">
        <v>1364</v>
      </c>
      <c r="G774" s="280" t="s">
        <v>153</v>
      </c>
      <c r="H774" s="279" t="s">
        <v>1262</v>
      </c>
      <c r="I774" s="279" t="s">
        <v>1877</v>
      </c>
      <c r="J774" s="781">
        <v>23.45</v>
      </c>
      <c r="K774" s="782"/>
    </row>
    <row r="775" spans="1:11" ht="33" customHeight="1" thickBot="1" x14ac:dyDescent="0.25">
      <c r="A775" s="282" t="s">
        <v>1276</v>
      </c>
      <c r="B775" s="282"/>
      <c r="C775" s="283" t="s">
        <v>1878</v>
      </c>
      <c r="D775" s="282" t="s">
        <v>1250</v>
      </c>
      <c r="E775" s="282" t="s">
        <v>1879</v>
      </c>
      <c r="F775" s="282" t="s">
        <v>1278</v>
      </c>
      <c r="G775" s="284" t="s">
        <v>153</v>
      </c>
      <c r="H775" s="283" t="s">
        <v>1262</v>
      </c>
      <c r="I775" s="283" t="s">
        <v>1880</v>
      </c>
      <c r="J775" s="770">
        <v>364.73</v>
      </c>
      <c r="K775" s="771"/>
    </row>
    <row r="776" spans="1:11" ht="0.95" customHeight="1" thickTop="1" x14ac:dyDescent="0.2">
      <c r="A776" s="281"/>
      <c r="B776" s="281"/>
      <c r="C776" s="281"/>
      <c r="D776" s="281"/>
      <c r="E776" s="281"/>
      <c r="F776" s="281"/>
      <c r="G776" s="281"/>
      <c r="H776" s="281"/>
      <c r="I776" s="281"/>
      <c r="J776" s="421"/>
      <c r="K776" s="421"/>
    </row>
    <row r="777" spans="1:11" ht="18" customHeight="1" x14ac:dyDescent="0.2">
      <c r="A777" s="272"/>
      <c r="B777" s="272" t="s">
        <v>54</v>
      </c>
      <c r="C777" s="273" t="s">
        <v>1239</v>
      </c>
      <c r="D777" s="272" t="s">
        <v>1240</v>
      </c>
      <c r="E777" s="272" t="s">
        <v>1241</v>
      </c>
      <c r="F777" s="272" t="s">
        <v>1242</v>
      </c>
      <c r="G777" s="274" t="s">
        <v>60</v>
      </c>
      <c r="H777" s="273" t="s">
        <v>58</v>
      </c>
      <c r="I777" s="273" t="s">
        <v>1243</v>
      </c>
      <c r="J777" s="775" t="s">
        <v>196</v>
      </c>
      <c r="K777" s="776"/>
    </row>
    <row r="778" spans="1:11" ht="33" customHeight="1" x14ac:dyDescent="0.2">
      <c r="A778" s="275" t="s">
        <v>1244</v>
      </c>
      <c r="B778" s="275" t="s">
        <v>4157</v>
      </c>
      <c r="C778" s="276" t="s">
        <v>1873</v>
      </c>
      <c r="D778" s="275" t="s">
        <v>1246</v>
      </c>
      <c r="E778" s="275" t="s">
        <v>578</v>
      </c>
      <c r="F778" s="275" t="s">
        <v>1874</v>
      </c>
      <c r="G778" s="277" t="s">
        <v>153</v>
      </c>
      <c r="H778" s="276">
        <v>1</v>
      </c>
      <c r="I778" s="276" t="s">
        <v>1875</v>
      </c>
      <c r="J778" s="777" t="s">
        <v>1875</v>
      </c>
      <c r="K778" s="778"/>
    </row>
    <row r="779" spans="1:11" ht="21.95" customHeight="1" x14ac:dyDescent="0.2">
      <c r="A779" s="278" t="s">
        <v>1248</v>
      </c>
      <c r="B779" s="278"/>
      <c r="C779" s="279" t="s">
        <v>1876</v>
      </c>
      <c r="D779" s="278" t="s">
        <v>1250</v>
      </c>
      <c r="E779" s="278" t="s">
        <v>251</v>
      </c>
      <c r="F779" s="278" t="s">
        <v>1364</v>
      </c>
      <c r="G779" s="280" t="s">
        <v>153</v>
      </c>
      <c r="H779" s="279" t="s">
        <v>1262</v>
      </c>
      <c r="I779" s="279" t="s">
        <v>1877</v>
      </c>
      <c r="J779" s="781">
        <v>23.45</v>
      </c>
      <c r="K779" s="782"/>
    </row>
    <row r="780" spans="1:11" ht="33" customHeight="1" thickBot="1" x14ac:dyDescent="0.25">
      <c r="A780" s="282" t="s">
        <v>1276</v>
      </c>
      <c r="B780" s="282"/>
      <c r="C780" s="283" t="s">
        <v>1878</v>
      </c>
      <c r="D780" s="282" t="s">
        <v>1250</v>
      </c>
      <c r="E780" s="282" t="s">
        <v>1879</v>
      </c>
      <c r="F780" s="282" t="s">
        <v>1278</v>
      </c>
      <c r="G780" s="284" t="s">
        <v>153</v>
      </c>
      <c r="H780" s="283" t="s">
        <v>1262</v>
      </c>
      <c r="I780" s="283" t="s">
        <v>1880</v>
      </c>
      <c r="J780" s="770">
        <v>364.73</v>
      </c>
      <c r="K780" s="771"/>
    </row>
    <row r="781" spans="1:11" ht="0.95" customHeight="1" thickTop="1" x14ac:dyDescent="0.2">
      <c r="A781" s="281"/>
      <c r="B781" s="281"/>
      <c r="C781" s="281"/>
      <c r="D781" s="281"/>
      <c r="E781" s="281"/>
      <c r="F781" s="281"/>
      <c r="G781" s="281"/>
      <c r="H781" s="281"/>
      <c r="I781" s="281"/>
      <c r="J781" s="421"/>
      <c r="K781" s="421"/>
    </row>
    <row r="782" spans="1:11" ht="18" customHeight="1" x14ac:dyDescent="0.2">
      <c r="A782" s="272"/>
      <c r="B782" s="272" t="s">
        <v>54</v>
      </c>
      <c r="C782" s="273" t="s">
        <v>1239</v>
      </c>
      <c r="D782" s="272" t="s">
        <v>1240</v>
      </c>
      <c r="E782" s="272" t="s">
        <v>1241</v>
      </c>
      <c r="F782" s="272" t="s">
        <v>1242</v>
      </c>
      <c r="G782" s="274" t="s">
        <v>60</v>
      </c>
      <c r="H782" s="273" t="s">
        <v>58</v>
      </c>
      <c r="I782" s="273" t="s">
        <v>1243</v>
      </c>
      <c r="J782" s="775" t="s">
        <v>196</v>
      </c>
      <c r="K782" s="776"/>
    </row>
    <row r="783" spans="1:11" ht="44.1" customHeight="1" x14ac:dyDescent="0.2">
      <c r="A783" s="275" t="s">
        <v>1244</v>
      </c>
      <c r="B783" s="275" t="s">
        <v>4158</v>
      </c>
      <c r="C783" s="276" t="s">
        <v>2138</v>
      </c>
      <c r="D783" s="275" t="s">
        <v>1246</v>
      </c>
      <c r="E783" s="275" t="s">
        <v>2139</v>
      </c>
      <c r="F783" s="275" t="s">
        <v>1364</v>
      </c>
      <c r="G783" s="277" t="s">
        <v>71</v>
      </c>
      <c r="H783" s="276">
        <v>1</v>
      </c>
      <c r="I783" s="276" t="s">
        <v>2141</v>
      </c>
      <c r="J783" s="777" t="s">
        <v>2141</v>
      </c>
      <c r="K783" s="778"/>
    </row>
    <row r="784" spans="1:11" ht="21.95" customHeight="1" x14ac:dyDescent="0.2">
      <c r="A784" s="278" t="s">
        <v>1248</v>
      </c>
      <c r="B784" s="278"/>
      <c r="C784" s="279" t="s">
        <v>1706</v>
      </c>
      <c r="D784" s="278" t="s">
        <v>1250</v>
      </c>
      <c r="E784" s="278" t="s">
        <v>1707</v>
      </c>
      <c r="F784" s="278" t="s">
        <v>1252</v>
      </c>
      <c r="G784" s="280" t="s">
        <v>1253</v>
      </c>
      <c r="H784" s="279" t="s">
        <v>2503</v>
      </c>
      <c r="I784" s="279" t="s">
        <v>1708</v>
      </c>
      <c r="J784" s="781">
        <v>0.39</v>
      </c>
      <c r="K784" s="782"/>
    </row>
    <row r="785" spans="1:11" ht="21.95" customHeight="1" x14ac:dyDescent="0.2">
      <c r="A785" s="278" t="s">
        <v>1248</v>
      </c>
      <c r="B785" s="278"/>
      <c r="C785" s="279" t="s">
        <v>1427</v>
      </c>
      <c r="D785" s="278" t="s">
        <v>1250</v>
      </c>
      <c r="E785" s="278" t="s">
        <v>1428</v>
      </c>
      <c r="F785" s="278" t="s">
        <v>1252</v>
      </c>
      <c r="G785" s="280" t="s">
        <v>1253</v>
      </c>
      <c r="H785" s="279" t="s">
        <v>2504</v>
      </c>
      <c r="I785" s="279" t="s">
        <v>1299</v>
      </c>
      <c r="J785" s="781">
        <v>2.96</v>
      </c>
      <c r="K785" s="782"/>
    </row>
    <row r="786" spans="1:11" ht="33" customHeight="1" x14ac:dyDescent="0.2">
      <c r="A786" s="278" t="s">
        <v>1248</v>
      </c>
      <c r="B786" s="278"/>
      <c r="C786" s="279" t="s">
        <v>2505</v>
      </c>
      <c r="D786" s="278" t="s">
        <v>1250</v>
      </c>
      <c r="E786" s="278" t="s">
        <v>2506</v>
      </c>
      <c r="F786" s="278" t="s">
        <v>1364</v>
      </c>
      <c r="G786" s="280" t="s">
        <v>71</v>
      </c>
      <c r="H786" s="279" t="s">
        <v>1262</v>
      </c>
      <c r="I786" s="279" t="s">
        <v>1618</v>
      </c>
      <c r="J786" s="781">
        <v>8.0500000000000007</v>
      </c>
      <c r="K786" s="782"/>
    </row>
    <row r="787" spans="1:11" ht="21.95" customHeight="1" x14ac:dyDescent="0.2">
      <c r="A787" s="282" t="s">
        <v>1276</v>
      </c>
      <c r="B787" s="282"/>
      <c r="C787" s="283" t="s">
        <v>1431</v>
      </c>
      <c r="D787" s="282" t="s">
        <v>1250</v>
      </c>
      <c r="E787" s="282" t="s">
        <v>1432</v>
      </c>
      <c r="F787" s="282" t="s">
        <v>1278</v>
      </c>
      <c r="G787" s="284" t="s">
        <v>71</v>
      </c>
      <c r="H787" s="283" t="s">
        <v>1339</v>
      </c>
      <c r="I787" s="283" t="s">
        <v>1434</v>
      </c>
      <c r="J787" s="779">
        <v>0.21</v>
      </c>
      <c r="K787" s="780"/>
    </row>
    <row r="788" spans="1:11" ht="33" customHeight="1" thickBot="1" x14ac:dyDescent="0.25">
      <c r="A788" s="282" t="s">
        <v>1276</v>
      </c>
      <c r="B788" s="282"/>
      <c r="C788" s="283" t="s">
        <v>2481</v>
      </c>
      <c r="D788" s="282" t="s">
        <v>1250</v>
      </c>
      <c r="E788" s="282" t="s">
        <v>2482</v>
      </c>
      <c r="F788" s="282" t="s">
        <v>1278</v>
      </c>
      <c r="G788" s="284" t="s">
        <v>52</v>
      </c>
      <c r="H788" s="283" t="s">
        <v>2507</v>
      </c>
      <c r="I788" s="283" t="s">
        <v>2484</v>
      </c>
      <c r="J788" s="770">
        <v>0.15</v>
      </c>
      <c r="K788" s="771"/>
    </row>
    <row r="789" spans="1:11" ht="0.95" customHeight="1" thickTop="1" x14ac:dyDescent="0.2">
      <c r="A789" s="281"/>
      <c r="B789" s="281"/>
      <c r="C789" s="281"/>
      <c r="D789" s="281"/>
      <c r="E789" s="281"/>
      <c r="F789" s="281"/>
      <c r="G789" s="281"/>
      <c r="H789" s="281"/>
      <c r="I789" s="281"/>
      <c r="J789" s="421"/>
      <c r="K789" s="421"/>
    </row>
    <row r="790" spans="1:11" ht="18" customHeight="1" x14ac:dyDescent="0.2">
      <c r="A790" s="272"/>
      <c r="B790" s="272" t="s">
        <v>54</v>
      </c>
      <c r="C790" s="273" t="s">
        <v>1239</v>
      </c>
      <c r="D790" s="272" t="s">
        <v>1240</v>
      </c>
      <c r="E790" s="272" t="s">
        <v>1241</v>
      </c>
      <c r="F790" s="272" t="s">
        <v>1242</v>
      </c>
      <c r="G790" s="274" t="s">
        <v>60</v>
      </c>
      <c r="H790" s="273" t="s">
        <v>58</v>
      </c>
      <c r="I790" s="273" t="s">
        <v>1243</v>
      </c>
      <c r="J790" s="775" t="s">
        <v>196</v>
      </c>
      <c r="K790" s="776"/>
    </row>
    <row r="791" spans="1:11" ht="44.1" customHeight="1" x14ac:dyDescent="0.2">
      <c r="A791" s="275" t="s">
        <v>1244</v>
      </c>
      <c r="B791" s="275" t="s">
        <v>4159</v>
      </c>
      <c r="C791" s="276" t="s">
        <v>2146</v>
      </c>
      <c r="D791" s="275" t="s">
        <v>1246</v>
      </c>
      <c r="E791" s="275" t="s">
        <v>2147</v>
      </c>
      <c r="F791" s="275" t="s">
        <v>1364</v>
      </c>
      <c r="G791" s="277" t="s">
        <v>71</v>
      </c>
      <c r="H791" s="276">
        <v>1</v>
      </c>
      <c r="I791" s="276" t="s">
        <v>1376</v>
      </c>
      <c r="J791" s="777" t="s">
        <v>1376</v>
      </c>
      <c r="K791" s="778"/>
    </row>
    <row r="792" spans="1:11" ht="21.95" customHeight="1" x14ac:dyDescent="0.2">
      <c r="A792" s="278" t="s">
        <v>1248</v>
      </c>
      <c r="B792" s="278"/>
      <c r="C792" s="279" t="s">
        <v>1706</v>
      </c>
      <c r="D792" s="278" t="s">
        <v>1250</v>
      </c>
      <c r="E792" s="278" t="s">
        <v>1707</v>
      </c>
      <c r="F792" s="278" t="s">
        <v>1252</v>
      </c>
      <c r="G792" s="280" t="s">
        <v>1253</v>
      </c>
      <c r="H792" s="279" t="s">
        <v>2497</v>
      </c>
      <c r="I792" s="279" t="s">
        <v>1708</v>
      </c>
      <c r="J792" s="781">
        <v>0.22</v>
      </c>
      <c r="K792" s="782"/>
    </row>
    <row r="793" spans="1:11" ht="21.95" customHeight="1" x14ac:dyDescent="0.2">
      <c r="A793" s="278" t="s">
        <v>1248</v>
      </c>
      <c r="B793" s="278"/>
      <c r="C793" s="279" t="s">
        <v>1427</v>
      </c>
      <c r="D793" s="278" t="s">
        <v>1250</v>
      </c>
      <c r="E793" s="278" t="s">
        <v>1428</v>
      </c>
      <c r="F793" s="278" t="s">
        <v>1252</v>
      </c>
      <c r="G793" s="280" t="s">
        <v>1253</v>
      </c>
      <c r="H793" s="279" t="s">
        <v>2498</v>
      </c>
      <c r="I793" s="279" t="s">
        <v>1299</v>
      </c>
      <c r="J793" s="781">
        <v>1.68</v>
      </c>
      <c r="K793" s="782"/>
    </row>
    <row r="794" spans="1:11" ht="33" customHeight="1" x14ac:dyDescent="0.2">
      <c r="A794" s="278" t="s">
        <v>1248</v>
      </c>
      <c r="B794" s="278"/>
      <c r="C794" s="279" t="s">
        <v>2499</v>
      </c>
      <c r="D794" s="278" t="s">
        <v>1250</v>
      </c>
      <c r="E794" s="278" t="s">
        <v>2500</v>
      </c>
      <c r="F794" s="278" t="s">
        <v>1364</v>
      </c>
      <c r="G794" s="280" t="s">
        <v>71</v>
      </c>
      <c r="H794" s="279" t="s">
        <v>1262</v>
      </c>
      <c r="I794" s="279" t="s">
        <v>2501</v>
      </c>
      <c r="J794" s="781">
        <v>8.18</v>
      </c>
      <c r="K794" s="782"/>
    </row>
    <row r="795" spans="1:11" ht="21.95" customHeight="1" x14ac:dyDescent="0.2">
      <c r="A795" s="282" t="s">
        <v>1276</v>
      </c>
      <c r="B795" s="282"/>
      <c r="C795" s="283" t="s">
        <v>1431</v>
      </c>
      <c r="D795" s="282" t="s">
        <v>1250</v>
      </c>
      <c r="E795" s="282" t="s">
        <v>1432</v>
      </c>
      <c r="F795" s="282" t="s">
        <v>1278</v>
      </c>
      <c r="G795" s="284" t="s">
        <v>71</v>
      </c>
      <c r="H795" s="283" t="s">
        <v>1339</v>
      </c>
      <c r="I795" s="283" t="s">
        <v>1434</v>
      </c>
      <c r="J795" s="779">
        <v>0.21</v>
      </c>
      <c r="K795" s="780"/>
    </row>
    <row r="796" spans="1:11" ht="33" customHeight="1" thickBot="1" x14ac:dyDescent="0.25">
      <c r="A796" s="282" t="s">
        <v>1276</v>
      </c>
      <c r="B796" s="282"/>
      <c r="C796" s="283" t="s">
        <v>2481</v>
      </c>
      <c r="D796" s="282" t="s">
        <v>1250</v>
      </c>
      <c r="E796" s="282" t="s">
        <v>2482</v>
      </c>
      <c r="F796" s="282" t="s">
        <v>1278</v>
      </c>
      <c r="G796" s="284" t="s">
        <v>52</v>
      </c>
      <c r="H796" s="283" t="s">
        <v>2502</v>
      </c>
      <c r="I796" s="283" t="s">
        <v>2484</v>
      </c>
      <c r="J796" s="770">
        <v>0.09</v>
      </c>
      <c r="K796" s="771"/>
    </row>
    <row r="797" spans="1:11" ht="0.95" customHeight="1" thickTop="1" x14ac:dyDescent="0.2">
      <c r="A797" s="281"/>
      <c r="B797" s="281"/>
      <c r="C797" s="281"/>
      <c r="D797" s="281"/>
      <c r="E797" s="281"/>
      <c r="F797" s="281"/>
      <c r="G797" s="281"/>
      <c r="H797" s="281"/>
      <c r="I797" s="281"/>
      <c r="J797" s="421"/>
      <c r="K797" s="421"/>
    </row>
    <row r="798" spans="1:11" ht="18" customHeight="1" x14ac:dyDescent="0.2">
      <c r="A798" s="272"/>
      <c r="B798" s="272" t="s">
        <v>54</v>
      </c>
      <c r="C798" s="273" t="s">
        <v>1239</v>
      </c>
      <c r="D798" s="272" t="s">
        <v>1240</v>
      </c>
      <c r="E798" s="272" t="s">
        <v>1241</v>
      </c>
      <c r="F798" s="272" t="s">
        <v>1242</v>
      </c>
      <c r="G798" s="274" t="s">
        <v>60</v>
      </c>
      <c r="H798" s="273" t="s">
        <v>58</v>
      </c>
      <c r="I798" s="273" t="s">
        <v>1243</v>
      </c>
      <c r="J798" s="775" t="s">
        <v>196</v>
      </c>
      <c r="K798" s="776"/>
    </row>
    <row r="799" spans="1:11" ht="44.1" customHeight="1" x14ac:dyDescent="0.2">
      <c r="A799" s="275" t="s">
        <v>1244</v>
      </c>
      <c r="B799" s="275" t="s">
        <v>4160</v>
      </c>
      <c r="C799" s="276" t="s">
        <v>2149</v>
      </c>
      <c r="D799" s="275" t="s">
        <v>1246</v>
      </c>
      <c r="E799" s="275" t="s">
        <v>2150</v>
      </c>
      <c r="F799" s="275" t="s">
        <v>1364</v>
      </c>
      <c r="G799" s="277" t="s">
        <v>71</v>
      </c>
      <c r="H799" s="276">
        <v>1</v>
      </c>
      <c r="I799" s="276" t="s">
        <v>2152</v>
      </c>
      <c r="J799" s="777" t="s">
        <v>2152</v>
      </c>
      <c r="K799" s="778"/>
    </row>
    <row r="800" spans="1:11" ht="21.95" customHeight="1" x14ac:dyDescent="0.2">
      <c r="A800" s="278" t="s">
        <v>1248</v>
      </c>
      <c r="B800" s="278"/>
      <c r="C800" s="279" t="s">
        <v>1706</v>
      </c>
      <c r="D800" s="278" t="s">
        <v>1250</v>
      </c>
      <c r="E800" s="278" t="s">
        <v>1707</v>
      </c>
      <c r="F800" s="278" t="s">
        <v>1252</v>
      </c>
      <c r="G800" s="280" t="s">
        <v>1253</v>
      </c>
      <c r="H800" s="279" t="s">
        <v>2471</v>
      </c>
      <c r="I800" s="279" t="s">
        <v>1708</v>
      </c>
      <c r="J800" s="781">
        <v>0.16</v>
      </c>
      <c r="K800" s="782"/>
    </row>
    <row r="801" spans="1:11" ht="21.95" customHeight="1" x14ac:dyDescent="0.2">
      <c r="A801" s="278" t="s">
        <v>1248</v>
      </c>
      <c r="B801" s="278"/>
      <c r="C801" s="279" t="s">
        <v>1427</v>
      </c>
      <c r="D801" s="278" t="s">
        <v>1250</v>
      </c>
      <c r="E801" s="278" t="s">
        <v>1428</v>
      </c>
      <c r="F801" s="278" t="s">
        <v>1252</v>
      </c>
      <c r="G801" s="280" t="s">
        <v>1253</v>
      </c>
      <c r="H801" s="279" t="s">
        <v>2472</v>
      </c>
      <c r="I801" s="279" t="s">
        <v>1299</v>
      </c>
      <c r="J801" s="781">
        <v>1.26</v>
      </c>
      <c r="K801" s="782"/>
    </row>
    <row r="802" spans="1:11" ht="33" customHeight="1" x14ac:dyDescent="0.2">
      <c r="A802" s="278" t="s">
        <v>1248</v>
      </c>
      <c r="B802" s="278"/>
      <c r="C802" s="279" t="s">
        <v>2473</v>
      </c>
      <c r="D802" s="278" t="s">
        <v>1250</v>
      </c>
      <c r="E802" s="278" t="s">
        <v>2474</v>
      </c>
      <c r="F802" s="278" t="s">
        <v>1364</v>
      </c>
      <c r="G802" s="280" t="s">
        <v>71</v>
      </c>
      <c r="H802" s="279" t="s">
        <v>1262</v>
      </c>
      <c r="I802" s="279" t="s">
        <v>2475</v>
      </c>
      <c r="J802" s="781">
        <v>6.75</v>
      </c>
      <c r="K802" s="782"/>
    </row>
    <row r="803" spans="1:11" ht="21.95" customHeight="1" thickBot="1" x14ac:dyDescent="0.25">
      <c r="A803" s="282" t="s">
        <v>1276</v>
      </c>
      <c r="B803" s="282"/>
      <c r="C803" s="283" t="s">
        <v>1431</v>
      </c>
      <c r="D803" s="282" t="s">
        <v>1250</v>
      </c>
      <c r="E803" s="282" t="s">
        <v>1432</v>
      </c>
      <c r="F803" s="282" t="s">
        <v>1278</v>
      </c>
      <c r="G803" s="284" t="s">
        <v>71</v>
      </c>
      <c r="H803" s="283" t="s">
        <v>1339</v>
      </c>
      <c r="I803" s="283" t="s">
        <v>1434</v>
      </c>
      <c r="J803" s="770">
        <v>0.21</v>
      </c>
      <c r="K803" s="771"/>
    </row>
    <row r="804" spans="1:11" ht="0.95" customHeight="1" thickTop="1" x14ac:dyDescent="0.2">
      <c r="A804" s="281"/>
      <c r="B804" s="281"/>
      <c r="C804" s="281"/>
      <c r="D804" s="281"/>
      <c r="E804" s="281"/>
      <c r="F804" s="281"/>
      <c r="G804" s="281"/>
      <c r="H804" s="281"/>
      <c r="I804" s="281"/>
      <c r="J804" s="421"/>
      <c r="K804" s="421"/>
    </row>
    <row r="805" spans="1:11" ht="18" customHeight="1" x14ac:dyDescent="0.2">
      <c r="A805" s="272"/>
      <c r="B805" s="272" t="s">
        <v>54</v>
      </c>
      <c r="C805" s="273" t="s">
        <v>1239</v>
      </c>
      <c r="D805" s="272" t="s">
        <v>1240</v>
      </c>
      <c r="E805" s="272" t="s">
        <v>1241</v>
      </c>
      <c r="F805" s="272" t="s">
        <v>1242</v>
      </c>
      <c r="G805" s="274" t="s">
        <v>60</v>
      </c>
      <c r="H805" s="273" t="s">
        <v>58</v>
      </c>
      <c r="I805" s="273" t="s">
        <v>1243</v>
      </c>
      <c r="J805" s="775" t="s">
        <v>196</v>
      </c>
      <c r="K805" s="776"/>
    </row>
    <row r="806" spans="1:11" ht="44.1" customHeight="1" x14ac:dyDescent="0.2">
      <c r="A806" s="275" t="s">
        <v>1244</v>
      </c>
      <c r="B806" s="275" t="s">
        <v>4161</v>
      </c>
      <c r="C806" s="276" t="s">
        <v>2153</v>
      </c>
      <c r="D806" s="275" t="s">
        <v>1246</v>
      </c>
      <c r="E806" s="275" t="s">
        <v>2154</v>
      </c>
      <c r="F806" s="275" t="s">
        <v>1364</v>
      </c>
      <c r="G806" s="277" t="s">
        <v>71</v>
      </c>
      <c r="H806" s="276">
        <v>1</v>
      </c>
      <c r="I806" s="276" t="s">
        <v>2156</v>
      </c>
      <c r="J806" s="777" t="s">
        <v>2156</v>
      </c>
      <c r="K806" s="778"/>
    </row>
    <row r="807" spans="1:11" ht="21.95" customHeight="1" x14ac:dyDescent="0.2">
      <c r="A807" s="278" t="s">
        <v>1248</v>
      </c>
      <c r="B807" s="278"/>
      <c r="C807" s="279" t="s">
        <v>1706</v>
      </c>
      <c r="D807" s="278" t="s">
        <v>1250</v>
      </c>
      <c r="E807" s="278" t="s">
        <v>1707</v>
      </c>
      <c r="F807" s="278" t="s">
        <v>1252</v>
      </c>
      <c r="G807" s="280" t="s">
        <v>1253</v>
      </c>
      <c r="H807" s="279" t="s">
        <v>2476</v>
      </c>
      <c r="I807" s="279" t="s">
        <v>1708</v>
      </c>
      <c r="J807" s="781">
        <v>0.12</v>
      </c>
      <c r="K807" s="782"/>
    </row>
    <row r="808" spans="1:11" ht="21.95" customHeight="1" x14ac:dyDescent="0.2">
      <c r="A808" s="278" t="s">
        <v>1248</v>
      </c>
      <c r="B808" s="278"/>
      <c r="C808" s="279" t="s">
        <v>1427</v>
      </c>
      <c r="D808" s="278" t="s">
        <v>1250</v>
      </c>
      <c r="E808" s="278" t="s">
        <v>1428</v>
      </c>
      <c r="F808" s="278" t="s">
        <v>1252</v>
      </c>
      <c r="G808" s="280" t="s">
        <v>1253</v>
      </c>
      <c r="H808" s="279" t="s">
        <v>2477</v>
      </c>
      <c r="I808" s="279" t="s">
        <v>1299</v>
      </c>
      <c r="J808" s="781">
        <v>0.92</v>
      </c>
      <c r="K808" s="782"/>
    </row>
    <row r="809" spans="1:11" ht="33" customHeight="1" x14ac:dyDescent="0.2">
      <c r="A809" s="278" t="s">
        <v>1248</v>
      </c>
      <c r="B809" s="278"/>
      <c r="C809" s="279" t="s">
        <v>2478</v>
      </c>
      <c r="D809" s="278" t="s">
        <v>1250</v>
      </c>
      <c r="E809" s="278" t="s">
        <v>2479</v>
      </c>
      <c r="F809" s="278" t="s">
        <v>1364</v>
      </c>
      <c r="G809" s="280" t="s">
        <v>71</v>
      </c>
      <c r="H809" s="279" t="s">
        <v>1262</v>
      </c>
      <c r="I809" s="279" t="s">
        <v>2480</v>
      </c>
      <c r="J809" s="781">
        <v>5.76</v>
      </c>
      <c r="K809" s="782"/>
    </row>
    <row r="810" spans="1:11" ht="21.95" customHeight="1" x14ac:dyDescent="0.2">
      <c r="A810" s="282" t="s">
        <v>1276</v>
      </c>
      <c r="B810" s="282"/>
      <c r="C810" s="283" t="s">
        <v>1431</v>
      </c>
      <c r="D810" s="282" t="s">
        <v>1250</v>
      </c>
      <c r="E810" s="282" t="s">
        <v>1432</v>
      </c>
      <c r="F810" s="282" t="s">
        <v>1278</v>
      </c>
      <c r="G810" s="284" t="s">
        <v>71</v>
      </c>
      <c r="H810" s="283" t="s">
        <v>1339</v>
      </c>
      <c r="I810" s="283" t="s">
        <v>1434</v>
      </c>
      <c r="J810" s="779">
        <v>0.21</v>
      </c>
      <c r="K810" s="780"/>
    </row>
    <row r="811" spans="1:11" ht="33" customHeight="1" thickBot="1" x14ac:dyDescent="0.25">
      <c r="A811" s="282" t="s">
        <v>1276</v>
      </c>
      <c r="B811" s="282"/>
      <c r="C811" s="283" t="s">
        <v>2481</v>
      </c>
      <c r="D811" s="282" t="s">
        <v>1250</v>
      </c>
      <c r="E811" s="282" t="s">
        <v>2482</v>
      </c>
      <c r="F811" s="282" t="s">
        <v>1278</v>
      </c>
      <c r="G811" s="284" t="s">
        <v>52</v>
      </c>
      <c r="H811" s="283" t="s">
        <v>2483</v>
      </c>
      <c r="I811" s="283" t="s">
        <v>2484</v>
      </c>
      <c r="J811" s="770">
        <v>0.04</v>
      </c>
      <c r="K811" s="771"/>
    </row>
    <row r="812" spans="1:11" ht="0.95" customHeight="1" thickTop="1" x14ac:dyDescent="0.2">
      <c r="A812" s="281"/>
      <c r="B812" s="281"/>
      <c r="C812" s="281"/>
      <c r="D812" s="281"/>
      <c r="E812" s="281"/>
      <c r="F812" s="281"/>
      <c r="G812" s="281"/>
      <c r="H812" s="281"/>
      <c r="I812" s="281"/>
      <c r="J812" s="421"/>
      <c r="K812" s="421"/>
    </row>
    <row r="813" spans="1:11" ht="18" customHeight="1" x14ac:dyDescent="0.2">
      <c r="A813" s="272"/>
      <c r="B813" s="272" t="s">
        <v>54</v>
      </c>
      <c r="C813" s="273" t="s">
        <v>1239</v>
      </c>
      <c r="D813" s="272" t="s">
        <v>1240</v>
      </c>
      <c r="E813" s="272" t="s">
        <v>1241</v>
      </c>
      <c r="F813" s="272" t="s">
        <v>1242</v>
      </c>
      <c r="G813" s="274" t="s">
        <v>60</v>
      </c>
      <c r="H813" s="273" t="s">
        <v>58</v>
      </c>
      <c r="I813" s="273" t="s">
        <v>1243</v>
      </c>
      <c r="J813" s="775" t="s">
        <v>196</v>
      </c>
      <c r="K813" s="776"/>
    </row>
    <row r="814" spans="1:11" ht="33" customHeight="1" x14ac:dyDescent="0.2">
      <c r="A814" s="275" t="s">
        <v>1244</v>
      </c>
      <c r="B814" s="275" t="s">
        <v>4162</v>
      </c>
      <c r="C814" s="276" t="s">
        <v>1873</v>
      </c>
      <c r="D814" s="275" t="s">
        <v>1246</v>
      </c>
      <c r="E814" s="275" t="s">
        <v>578</v>
      </c>
      <c r="F814" s="275" t="s">
        <v>1874</v>
      </c>
      <c r="G814" s="277" t="s">
        <v>153</v>
      </c>
      <c r="H814" s="276">
        <v>1</v>
      </c>
      <c r="I814" s="276" t="s">
        <v>1875</v>
      </c>
      <c r="J814" s="777" t="s">
        <v>1875</v>
      </c>
      <c r="K814" s="778"/>
    </row>
    <row r="815" spans="1:11" ht="21.95" customHeight="1" x14ac:dyDescent="0.2">
      <c r="A815" s="278" t="s">
        <v>1248</v>
      </c>
      <c r="B815" s="278"/>
      <c r="C815" s="279" t="s">
        <v>1876</v>
      </c>
      <c r="D815" s="278" t="s">
        <v>1250</v>
      </c>
      <c r="E815" s="278" t="s">
        <v>251</v>
      </c>
      <c r="F815" s="278" t="s">
        <v>1364</v>
      </c>
      <c r="G815" s="280" t="s">
        <v>153</v>
      </c>
      <c r="H815" s="279" t="s">
        <v>1262</v>
      </c>
      <c r="I815" s="279" t="s">
        <v>1877</v>
      </c>
      <c r="J815" s="781">
        <v>23.45</v>
      </c>
      <c r="K815" s="782"/>
    </row>
    <row r="816" spans="1:11" ht="33" customHeight="1" thickBot="1" x14ac:dyDescent="0.25">
      <c r="A816" s="282" t="s">
        <v>1276</v>
      </c>
      <c r="B816" s="282"/>
      <c r="C816" s="283" t="s">
        <v>1878</v>
      </c>
      <c r="D816" s="282" t="s">
        <v>1250</v>
      </c>
      <c r="E816" s="282" t="s">
        <v>1879</v>
      </c>
      <c r="F816" s="282" t="s">
        <v>1278</v>
      </c>
      <c r="G816" s="284" t="s">
        <v>153</v>
      </c>
      <c r="H816" s="283" t="s">
        <v>1262</v>
      </c>
      <c r="I816" s="283" t="s">
        <v>1880</v>
      </c>
      <c r="J816" s="770">
        <v>364.73</v>
      </c>
      <c r="K816" s="771"/>
    </row>
    <row r="817" spans="1:11" ht="0.95" customHeight="1" thickTop="1" x14ac:dyDescent="0.2">
      <c r="A817" s="281"/>
      <c r="B817" s="281"/>
      <c r="C817" s="281"/>
      <c r="D817" s="281"/>
      <c r="E817" s="281"/>
      <c r="F817" s="281"/>
      <c r="G817" s="281"/>
      <c r="H817" s="281"/>
      <c r="I817" s="281"/>
      <c r="J817" s="421"/>
      <c r="K817" s="421"/>
    </row>
    <row r="818" spans="1:11" ht="18" customHeight="1" x14ac:dyDescent="0.2">
      <c r="A818" s="272"/>
      <c r="B818" s="272" t="s">
        <v>54</v>
      </c>
      <c r="C818" s="273" t="s">
        <v>1239</v>
      </c>
      <c r="D818" s="272" t="s">
        <v>1240</v>
      </c>
      <c r="E818" s="272" t="s">
        <v>1241</v>
      </c>
      <c r="F818" s="272" t="s">
        <v>1242</v>
      </c>
      <c r="G818" s="274" t="s">
        <v>60</v>
      </c>
      <c r="H818" s="273" t="s">
        <v>58</v>
      </c>
      <c r="I818" s="273" t="s">
        <v>1243</v>
      </c>
      <c r="J818" s="775" t="s">
        <v>196</v>
      </c>
      <c r="K818" s="776"/>
    </row>
    <row r="819" spans="1:11" ht="33" customHeight="1" x14ac:dyDescent="0.2">
      <c r="A819" s="275" t="s">
        <v>1244</v>
      </c>
      <c r="B819" s="275" t="s">
        <v>4163</v>
      </c>
      <c r="C819" s="276" t="s">
        <v>1873</v>
      </c>
      <c r="D819" s="275" t="s">
        <v>1246</v>
      </c>
      <c r="E819" s="275" t="s">
        <v>578</v>
      </c>
      <c r="F819" s="275" t="s">
        <v>1874</v>
      </c>
      <c r="G819" s="277" t="s">
        <v>153</v>
      </c>
      <c r="H819" s="276">
        <v>1</v>
      </c>
      <c r="I819" s="276" t="s">
        <v>1875</v>
      </c>
      <c r="J819" s="777" t="s">
        <v>1875</v>
      </c>
      <c r="K819" s="778"/>
    </row>
    <row r="820" spans="1:11" ht="21.95" customHeight="1" x14ac:dyDescent="0.2">
      <c r="A820" s="278" t="s">
        <v>1248</v>
      </c>
      <c r="B820" s="278"/>
      <c r="C820" s="279" t="s">
        <v>1876</v>
      </c>
      <c r="D820" s="278" t="s">
        <v>1250</v>
      </c>
      <c r="E820" s="278" t="s">
        <v>251</v>
      </c>
      <c r="F820" s="278" t="s">
        <v>1364</v>
      </c>
      <c r="G820" s="280" t="s">
        <v>153</v>
      </c>
      <c r="H820" s="279" t="s">
        <v>1262</v>
      </c>
      <c r="I820" s="279" t="s">
        <v>1877</v>
      </c>
      <c r="J820" s="781">
        <v>23.45</v>
      </c>
      <c r="K820" s="782"/>
    </row>
    <row r="821" spans="1:11" ht="33" customHeight="1" thickBot="1" x14ac:dyDescent="0.25">
      <c r="A821" s="282" t="s">
        <v>1276</v>
      </c>
      <c r="B821" s="282"/>
      <c r="C821" s="283" t="s">
        <v>1878</v>
      </c>
      <c r="D821" s="282" t="s">
        <v>1250</v>
      </c>
      <c r="E821" s="282" t="s">
        <v>1879</v>
      </c>
      <c r="F821" s="282" t="s">
        <v>1278</v>
      </c>
      <c r="G821" s="284" t="s">
        <v>153</v>
      </c>
      <c r="H821" s="283" t="s">
        <v>1262</v>
      </c>
      <c r="I821" s="283" t="s">
        <v>1880</v>
      </c>
      <c r="J821" s="770">
        <v>364.73</v>
      </c>
      <c r="K821" s="771"/>
    </row>
    <row r="822" spans="1:11" ht="0.95" customHeight="1" thickTop="1" x14ac:dyDescent="0.2">
      <c r="A822" s="281"/>
      <c r="B822" s="281"/>
      <c r="C822" s="281"/>
      <c r="D822" s="281"/>
      <c r="E822" s="281"/>
      <c r="F822" s="281"/>
      <c r="G822" s="281"/>
      <c r="H822" s="281"/>
      <c r="I822" s="281"/>
      <c r="J822" s="421"/>
      <c r="K822" s="421"/>
    </row>
    <row r="823" spans="1:11" ht="18" customHeight="1" x14ac:dyDescent="0.2">
      <c r="A823" s="272"/>
      <c r="B823" s="272" t="s">
        <v>54</v>
      </c>
      <c r="C823" s="273" t="s">
        <v>1239</v>
      </c>
      <c r="D823" s="272" t="s">
        <v>1240</v>
      </c>
      <c r="E823" s="272" t="s">
        <v>1241</v>
      </c>
      <c r="F823" s="272" t="s">
        <v>1242</v>
      </c>
      <c r="G823" s="274" t="s">
        <v>60</v>
      </c>
      <c r="H823" s="273" t="s">
        <v>58</v>
      </c>
      <c r="I823" s="273" t="s">
        <v>1243</v>
      </c>
      <c r="J823" s="775" t="s">
        <v>196</v>
      </c>
      <c r="K823" s="776"/>
    </row>
    <row r="824" spans="1:11" ht="33" customHeight="1" x14ac:dyDescent="0.2">
      <c r="A824" s="275" t="s">
        <v>1244</v>
      </c>
      <c r="B824" s="275" t="s">
        <v>4164</v>
      </c>
      <c r="C824" s="276" t="s">
        <v>1873</v>
      </c>
      <c r="D824" s="275" t="s">
        <v>1246</v>
      </c>
      <c r="E824" s="275" t="s">
        <v>578</v>
      </c>
      <c r="F824" s="275" t="s">
        <v>1874</v>
      </c>
      <c r="G824" s="277" t="s">
        <v>153</v>
      </c>
      <c r="H824" s="276">
        <v>1</v>
      </c>
      <c r="I824" s="276" t="s">
        <v>1875</v>
      </c>
      <c r="J824" s="777" t="s">
        <v>1875</v>
      </c>
      <c r="K824" s="778"/>
    </row>
    <row r="825" spans="1:11" ht="21.95" customHeight="1" x14ac:dyDescent="0.2">
      <c r="A825" s="278" t="s">
        <v>1248</v>
      </c>
      <c r="B825" s="278"/>
      <c r="C825" s="279" t="s">
        <v>1876</v>
      </c>
      <c r="D825" s="278" t="s">
        <v>1250</v>
      </c>
      <c r="E825" s="278" t="s">
        <v>251</v>
      </c>
      <c r="F825" s="278" t="s">
        <v>1364</v>
      </c>
      <c r="G825" s="280" t="s">
        <v>153</v>
      </c>
      <c r="H825" s="279" t="s">
        <v>1262</v>
      </c>
      <c r="I825" s="279" t="s">
        <v>1877</v>
      </c>
      <c r="J825" s="781">
        <v>23.45</v>
      </c>
      <c r="K825" s="782"/>
    </row>
    <row r="826" spans="1:11" ht="33" customHeight="1" thickBot="1" x14ac:dyDescent="0.25">
      <c r="A826" s="282" t="s">
        <v>1276</v>
      </c>
      <c r="B826" s="282"/>
      <c r="C826" s="283" t="s">
        <v>1878</v>
      </c>
      <c r="D826" s="282" t="s">
        <v>1250</v>
      </c>
      <c r="E826" s="282" t="s">
        <v>1879</v>
      </c>
      <c r="F826" s="282" t="s">
        <v>1278</v>
      </c>
      <c r="G826" s="284" t="s">
        <v>153</v>
      </c>
      <c r="H826" s="283" t="s">
        <v>1262</v>
      </c>
      <c r="I826" s="283" t="s">
        <v>1880</v>
      </c>
      <c r="J826" s="770">
        <v>364.73</v>
      </c>
      <c r="K826" s="771"/>
    </row>
    <row r="827" spans="1:11" ht="0.95" customHeight="1" thickTop="1" x14ac:dyDescent="0.2">
      <c r="A827" s="281"/>
      <c r="B827" s="281"/>
      <c r="C827" s="281"/>
      <c r="D827" s="281"/>
      <c r="E827" s="281"/>
      <c r="F827" s="281"/>
      <c r="G827" s="281"/>
      <c r="H827" s="281"/>
      <c r="I827" s="281"/>
      <c r="J827" s="421"/>
      <c r="K827" s="421"/>
    </row>
    <row r="828" spans="1:11" ht="18" customHeight="1" x14ac:dyDescent="0.2">
      <c r="A828" s="272"/>
      <c r="B828" s="272" t="s">
        <v>54</v>
      </c>
      <c r="C828" s="273" t="s">
        <v>1239</v>
      </c>
      <c r="D828" s="272" t="s">
        <v>1240</v>
      </c>
      <c r="E828" s="272" t="s">
        <v>1241</v>
      </c>
      <c r="F828" s="272" t="s">
        <v>1242</v>
      </c>
      <c r="G828" s="274" t="s">
        <v>60</v>
      </c>
      <c r="H828" s="273" t="s">
        <v>58</v>
      </c>
      <c r="I828" s="273" t="s">
        <v>1243</v>
      </c>
      <c r="J828" s="775" t="s">
        <v>196</v>
      </c>
      <c r="K828" s="776"/>
    </row>
    <row r="829" spans="1:11" ht="33" customHeight="1" x14ac:dyDescent="0.2">
      <c r="A829" s="275" t="s">
        <v>1244</v>
      </c>
      <c r="B829" s="275" t="s">
        <v>4165</v>
      </c>
      <c r="C829" s="276" t="s">
        <v>4138</v>
      </c>
      <c r="D829" s="275" t="s">
        <v>1246</v>
      </c>
      <c r="E829" s="275" t="s">
        <v>3075</v>
      </c>
      <c r="F829" s="275" t="s">
        <v>1364</v>
      </c>
      <c r="G829" s="277" t="s">
        <v>77</v>
      </c>
      <c r="H829" s="276">
        <v>1</v>
      </c>
      <c r="I829" s="276" t="s">
        <v>4139</v>
      </c>
      <c r="J829" s="777" t="s">
        <v>4139</v>
      </c>
      <c r="K829" s="778"/>
    </row>
    <row r="830" spans="1:11" ht="21.95" customHeight="1" x14ac:dyDescent="0.2">
      <c r="A830" s="278" t="s">
        <v>1248</v>
      </c>
      <c r="B830" s="278"/>
      <c r="C830" s="279" t="s">
        <v>1297</v>
      </c>
      <c r="D830" s="278" t="s">
        <v>1250</v>
      </c>
      <c r="E830" s="278" t="s">
        <v>1298</v>
      </c>
      <c r="F830" s="278" t="s">
        <v>1252</v>
      </c>
      <c r="G830" s="280" t="s">
        <v>1253</v>
      </c>
      <c r="H830" s="279" t="s">
        <v>1888</v>
      </c>
      <c r="I830" s="279" t="s">
        <v>1299</v>
      </c>
      <c r="J830" s="781">
        <v>3.23</v>
      </c>
      <c r="K830" s="782"/>
    </row>
    <row r="831" spans="1:11" ht="21.95" customHeight="1" x14ac:dyDescent="0.2">
      <c r="A831" s="278" t="s">
        <v>1248</v>
      </c>
      <c r="B831" s="278"/>
      <c r="C831" s="279" t="s">
        <v>1269</v>
      </c>
      <c r="D831" s="278" t="s">
        <v>1250</v>
      </c>
      <c r="E831" s="278" t="s">
        <v>1270</v>
      </c>
      <c r="F831" s="278" t="s">
        <v>1252</v>
      </c>
      <c r="G831" s="280" t="s">
        <v>1253</v>
      </c>
      <c r="H831" s="279" t="s">
        <v>1486</v>
      </c>
      <c r="I831" s="279" t="s">
        <v>1272</v>
      </c>
      <c r="J831" s="781">
        <v>5.98</v>
      </c>
      <c r="K831" s="782"/>
    </row>
    <row r="832" spans="1:11" ht="21.95" customHeight="1" x14ac:dyDescent="0.2">
      <c r="A832" s="278" t="s">
        <v>1248</v>
      </c>
      <c r="B832" s="278"/>
      <c r="C832" s="279" t="s">
        <v>1273</v>
      </c>
      <c r="D832" s="278" t="s">
        <v>1250</v>
      </c>
      <c r="E832" s="278" t="s">
        <v>1274</v>
      </c>
      <c r="F832" s="278" t="s">
        <v>1252</v>
      </c>
      <c r="G832" s="280" t="s">
        <v>1253</v>
      </c>
      <c r="H832" s="279" t="s">
        <v>1722</v>
      </c>
      <c r="I832" s="279" t="s">
        <v>1275</v>
      </c>
      <c r="J832" s="781">
        <v>11.8</v>
      </c>
      <c r="K832" s="782"/>
    </row>
    <row r="833" spans="1:11" ht="21.95" customHeight="1" x14ac:dyDescent="0.2">
      <c r="A833" s="278" t="s">
        <v>1248</v>
      </c>
      <c r="B833" s="278"/>
      <c r="C833" s="279" t="s">
        <v>1876</v>
      </c>
      <c r="D833" s="278" t="s">
        <v>1250</v>
      </c>
      <c r="E833" s="278" t="s">
        <v>251</v>
      </c>
      <c r="F833" s="278" t="s">
        <v>1364</v>
      </c>
      <c r="G833" s="280" t="s">
        <v>153</v>
      </c>
      <c r="H833" s="279" t="s">
        <v>1430</v>
      </c>
      <c r="I833" s="279" t="s">
        <v>1877</v>
      </c>
      <c r="J833" s="781">
        <v>1.4</v>
      </c>
      <c r="K833" s="782"/>
    </row>
    <row r="834" spans="1:11" ht="33" customHeight="1" x14ac:dyDescent="0.2">
      <c r="A834" s="278" t="s">
        <v>1248</v>
      </c>
      <c r="B834" s="278"/>
      <c r="C834" s="279" t="s">
        <v>1422</v>
      </c>
      <c r="D834" s="278" t="s">
        <v>1246</v>
      </c>
      <c r="E834" s="278" t="s">
        <v>252</v>
      </c>
      <c r="F834" s="278" t="s">
        <v>1364</v>
      </c>
      <c r="G834" s="280" t="s">
        <v>153</v>
      </c>
      <c r="H834" s="279" t="s">
        <v>1430</v>
      </c>
      <c r="I834" s="279" t="s">
        <v>1423</v>
      </c>
      <c r="J834" s="781">
        <v>18.75</v>
      </c>
      <c r="K834" s="782"/>
    </row>
    <row r="835" spans="1:11" ht="21.95" customHeight="1" x14ac:dyDescent="0.2">
      <c r="A835" s="282" t="s">
        <v>1276</v>
      </c>
      <c r="B835" s="282"/>
      <c r="C835" s="283" t="s">
        <v>4140</v>
      </c>
      <c r="D835" s="282" t="s">
        <v>1246</v>
      </c>
      <c r="E835" s="282" t="s">
        <v>3812</v>
      </c>
      <c r="F835" s="282" t="s">
        <v>1278</v>
      </c>
      <c r="G835" s="284" t="s">
        <v>77</v>
      </c>
      <c r="H835" s="283" t="s">
        <v>1262</v>
      </c>
      <c r="I835" s="283" t="s">
        <v>2198</v>
      </c>
      <c r="J835" s="779">
        <v>41.95</v>
      </c>
      <c r="K835" s="780"/>
    </row>
    <row r="836" spans="1:11" ht="21.95" customHeight="1" x14ac:dyDescent="0.2">
      <c r="A836" s="282" t="s">
        <v>1276</v>
      </c>
      <c r="B836" s="282"/>
      <c r="C836" s="283" t="s">
        <v>1583</v>
      </c>
      <c r="D836" s="282" t="s">
        <v>1250</v>
      </c>
      <c r="E836" s="282" t="s">
        <v>1584</v>
      </c>
      <c r="F836" s="282" t="s">
        <v>1278</v>
      </c>
      <c r="G836" s="284" t="s">
        <v>75</v>
      </c>
      <c r="H836" s="283" t="s">
        <v>1488</v>
      </c>
      <c r="I836" s="283" t="s">
        <v>1586</v>
      </c>
      <c r="J836" s="779">
        <v>4.75</v>
      </c>
      <c r="K836" s="780"/>
    </row>
    <row r="837" spans="1:11" ht="21.95" customHeight="1" x14ac:dyDescent="0.2">
      <c r="A837" s="282" t="s">
        <v>1276</v>
      </c>
      <c r="B837" s="282"/>
      <c r="C837" s="283" t="s">
        <v>4141</v>
      </c>
      <c r="D837" s="282" t="s">
        <v>1250</v>
      </c>
      <c r="E837" s="282" t="s">
        <v>4142</v>
      </c>
      <c r="F837" s="282" t="s">
        <v>1278</v>
      </c>
      <c r="G837" s="284" t="s">
        <v>71</v>
      </c>
      <c r="H837" s="283" t="s">
        <v>1443</v>
      </c>
      <c r="I837" s="283" t="s">
        <v>2501</v>
      </c>
      <c r="J837" s="779">
        <v>0.16</v>
      </c>
      <c r="K837" s="780"/>
    </row>
    <row r="838" spans="1:11" ht="21.95" customHeight="1" thickBot="1" x14ac:dyDescent="0.25">
      <c r="A838" s="282" t="s">
        <v>1276</v>
      </c>
      <c r="B838" s="282"/>
      <c r="C838" s="283" t="s">
        <v>1314</v>
      </c>
      <c r="D838" s="282" t="s">
        <v>1250</v>
      </c>
      <c r="E838" s="282" t="s">
        <v>1315</v>
      </c>
      <c r="F838" s="282" t="s">
        <v>1278</v>
      </c>
      <c r="G838" s="284" t="s">
        <v>75</v>
      </c>
      <c r="H838" s="283" t="s">
        <v>1356</v>
      </c>
      <c r="I838" s="283" t="s">
        <v>1316</v>
      </c>
      <c r="J838" s="770">
        <v>1.77</v>
      </c>
      <c r="K838" s="771"/>
    </row>
    <row r="839" spans="1:11" ht="0.95" customHeight="1" thickTop="1" x14ac:dyDescent="0.2">
      <c r="A839" s="281"/>
      <c r="B839" s="281"/>
      <c r="C839" s="281"/>
      <c r="D839" s="281"/>
      <c r="E839" s="281"/>
      <c r="F839" s="281"/>
      <c r="G839" s="281"/>
      <c r="H839" s="281"/>
      <c r="I839" s="281"/>
      <c r="J839" s="421"/>
      <c r="K839" s="421"/>
    </row>
    <row r="840" spans="1:11" ht="18" customHeight="1" x14ac:dyDescent="0.2">
      <c r="A840" s="272"/>
      <c r="B840" s="272" t="s">
        <v>54</v>
      </c>
      <c r="C840" s="273" t="s">
        <v>1239</v>
      </c>
      <c r="D840" s="272" t="s">
        <v>1240</v>
      </c>
      <c r="E840" s="272" t="s">
        <v>1241</v>
      </c>
      <c r="F840" s="272" t="s">
        <v>1242</v>
      </c>
      <c r="G840" s="274" t="s">
        <v>60</v>
      </c>
      <c r="H840" s="273" t="s">
        <v>58</v>
      </c>
      <c r="I840" s="273" t="s">
        <v>1243</v>
      </c>
      <c r="J840" s="775" t="s">
        <v>196</v>
      </c>
      <c r="K840" s="776"/>
    </row>
    <row r="841" spans="1:11" ht="21.95" customHeight="1" x14ac:dyDescent="0.2">
      <c r="A841" s="275" t="s">
        <v>1244</v>
      </c>
      <c r="B841" s="275" t="s">
        <v>4166</v>
      </c>
      <c r="C841" s="276" t="s">
        <v>1439</v>
      </c>
      <c r="D841" s="275" t="s">
        <v>1246</v>
      </c>
      <c r="E841" s="275" t="s">
        <v>264</v>
      </c>
      <c r="F841" s="275" t="s">
        <v>1364</v>
      </c>
      <c r="G841" s="277" t="s">
        <v>71</v>
      </c>
      <c r="H841" s="276">
        <v>1</v>
      </c>
      <c r="I841" s="276" t="s">
        <v>1440</v>
      </c>
      <c r="J841" s="777" t="s">
        <v>1440</v>
      </c>
      <c r="K841" s="778"/>
    </row>
    <row r="842" spans="1:11" ht="21.95" customHeight="1" x14ac:dyDescent="0.2">
      <c r="A842" s="278" t="s">
        <v>1248</v>
      </c>
      <c r="B842" s="278"/>
      <c r="C842" s="279" t="s">
        <v>1441</v>
      </c>
      <c r="D842" s="278" t="s">
        <v>1250</v>
      </c>
      <c r="E842" s="278" t="s">
        <v>1442</v>
      </c>
      <c r="F842" s="278" t="s">
        <v>1252</v>
      </c>
      <c r="G842" s="280" t="s">
        <v>1253</v>
      </c>
      <c r="H842" s="279" t="s">
        <v>1443</v>
      </c>
      <c r="I842" s="279" t="s">
        <v>1444</v>
      </c>
      <c r="J842" s="781">
        <v>0.32</v>
      </c>
      <c r="K842" s="782"/>
    </row>
    <row r="843" spans="1:11" ht="21.95" customHeight="1" x14ac:dyDescent="0.2">
      <c r="A843" s="278" t="s">
        <v>1248</v>
      </c>
      <c r="B843" s="278"/>
      <c r="C843" s="279" t="s">
        <v>1445</v>
      </c>
      <c r="D843" s="278" t="s">
        <v>1250</v>
      </c>
      <c r="E843" s="278" t="s">
        <v>1446</v>
      </c>
      <c r="F843" s="278" t="s">
        <v>1252</v>
      </c>
      <c r="G843" s="280" t="s">
        <v>1253</v>
      </c>
      <c r="H843" s="279" t="s">
        <v>1443</v>
      </c>
      <c r="I843" s="279" t="s">
        <v>1447</v>
      </c>
      <c r="J843" s="781">
        <v>0.26</v>
      </c>
      <c r="K843" s="782"/>
    </row>
    <row r="844" spans="1:11" ht="21.95" customHeight="1" x14ac:dyDescent="0.2">
      <c r="A844" s="278" t="s">
        <v>1248</v>
      </c>
      <c r="B844" s="278"/>
      <c r="C844" s="279" t="s">
        <v>1448</v>
      </c>
      <c r="D844" s="278" t="s">
        <v>1250</v>
      </c>
      <c r="E844" s="278" t="s">
        <v>1449</v>
      </c>
      <c r="F844" s="278" t="s">
        <v>1252</v>
      </c>
      <c r="G844" s="280" t="s">
        <v>1253</v>
      </c>
      <c r="H844" s="279" t="s">
        <v>1450</v>
      </c>
      <c r="I844" s="279" t="s">
        <v>1451</v>
      </c>
      <c r="J844" s="781">
        <v>0.05</v>
      </c>
      <c r="K844" s="782"/>
    </row>
    <row r="845" spans="1:11" ht="21.95" customHeight="1" x14ac:dyDescent="0.2">
      <c r="A845" s="278" t="s">
        <v>1248</v>
      </c>
      <c r="B845" s="278"/>
      <c r="C845" s="279" t="s">
        <v>1273</v>
      </c>
      <c r="D845" s="278" t="s">
        <v>1250</v>
      </c>
      <c r="E845" s="278" t="s">
        <v>1274</v>
      </c>
      <c r="F845" s="278" t="s">
        <v>1252</v>
      </c>
      <c r="G845" s="280" t="s">
        <v>1253</v>
      </c>
      <c r="H845" s="279" t="s">
        <v>1450</v>
      </c>
      <c r="I845" s="279" t="s">
        <v>1275</v>
      </c>
      <c r="J845" s="781">
        <v>0.04</v>
      </c>
      <c r="K845" s="782"/>
    </row>
    <row r="846" spans="1:11" ht="21.95" customHeight="1" x14ac:dyDescent="0.2">
      <c r="A846" s="278" t="s">
        <v>1248</v>
      </c>
      <c r="B846" s="278"/>
      <c r="C846" s="279" t="s">
        <v>1452</v>
      </c>
      <c r="D846" s="278" t="s">
        <v>1250</v>
      </c>
      <c r="E846" s="278" t="s">
        <v>1453</v>
      </c>
      <c r="F846" s="278" t="s">
        <v>1252</v>
      </c>
      <c r="G846" s="280" t="s">
        <v>1253</v>
      </c>
      <c r="H846" s="279" t="s">
        <v>1347</v>
      </c>
      <c r="I846" s="279" t="s">
        <v>1454</v>
      </c>
      <c r="J846" s="781">
        <v>0.35</v>
      </c>
      <c r="K846" s="782"/>
    </row>
    <row r="847" spans="1:11" ht="21.95" customHeight="1" x14ac:dyDescent="0.2">
      <c r="A847" s="278" t="s">
        <v>1248</v>
      </c>
      <c r="B847" s="278"/>
      <c r="C847" s="279" t="s">
        <v>1354</v>
      </c>
      <c r="D847" s="278" t="s">
        <v>1250</v>
      </c>
      <c r="E847" s="278" t="s">
        <v>1355</v>
      </c>
      <c r="F847" s="278" t="s">
        <v>1252</v>
      </c>
      <c r="G847" s="280" t="s">
        <v>1253</v>
      </c>
      <c r="H847" s="279" t="s">
        <v>1347</v>
      </c>
      <c r="I847" s="279" t="s">
        <v>1299</v>
      </c>
      <c r="J847" s="781">
        <v>0.68</v>
      </c>
      <c r="K847" s="782"/>
    </row>
    <row r="848" spans="1:11" ht="21.95" customHeight="1" x14ac:dyDescent="0.2">
      <c r="A848" s="282" t="s">
        <v>1276</v>
      </c>
      <c r="B848" s="282"/>
      <c r="C848" s="283" t="s">
        <v>1455</v>
      </c>
      <c r="D848" s="282" t="s">
        <v>1246</v>
      </c>
      <c r="E848" s="282" t="s">
        <v>733</v>
      </c>
      <c r="F848" s="282" t="s">
        <v>1278</v>
      </c>
      <c r="G848" s="284" t="s">
        <v>71</v>
      </c>
      <c r="H848" s="283" t="s">
        <v>1456</v>
      </c>
      <c r="I848" s="283" t="s">
        <v>1457</v>
      </c>
      <c r="J848" s="779">
        <v>2.56</v>
      </c>
      <c r="K848" s="780"/>
    </row>
    <row r="849" spans="1:11" ht="21.95" customHeight="1" x14ac:dyDescent="0.2">
      <c r="A849" s="282" t="s">
        <v>1276</v>
      </c>
      <c r="B849" s="282"/>
      <c r="C849" s="283" t="s">
        <v>1458</v>
      </c>
      <c r="D849" s="282" t="s">
        <v>1250</v>
      </c>
      <c r="E849" s="282" t="s">
        <v>1459</v>
      </c>
      <c r="F849" s="282" t="s">
        <v>1278</v>
      </c>
      <c r="G849" s="284" t="s">
        <v>75</v>
      </c>
      <c r="H849" s="283" t="s">
        <v>1460</v>
      </c>
      <c r="I849" s="283" t="s">
        <v>1461</v>
      </c>
      <c r="J849" s="779">
        <v>2.94</v>
      </c>
      <c r="K849" s="780"/>
    </row>
    <row r="850" spans="1:11" ht="21.95" customHeight="1" x14ac:dyDescent="0.2">
      <c r="A850" s="282" t="s">
        <v>1276</v>
      </c>
      <c r="B850" s="282"/>
      <c r="C850" s="283" t="s">
        <v>1462</v>
      </c>
      <c r="D850" s="282" t="s">
        <v>1250</v>
      </c>
      <c r="E850" s="282" t="s">
        <v>1463</v>
      </c>
      <c r="F850" s="282" t="s">
        <v>1278</v>
      </c>
      <c r="G850" s="284" t="s">
        <v>749</v>
      </c>
      <c r="H850" s="283" t="s">
        <v>1464</v>
      </c>
      <c r="I850" s="283" t="s">
        <v>1465</v>
      </c>
      <c r="J850" s="779">
        <v>0.04</v>
      </c>
      <c r="K850" s="780"/>
    </row>
    <row r="851" spans="1:11" ht="21.95" customHeight="1" x14ac:dyDescent="0.2">
      <c r="A851" s="282" t="s">
        <v>1276</v>
      </c>
      <c r="B851" s="282"/>
      <c r="C851" s="283" t="s">
        <v>1466</v>
      </c>
      <c r="D851" s="282" t="s">
        <v>1250</v>
      </c>
      <c r="E851" s="282" t="s">
        <v>1467</v>
      </c>
      <c r="F851" s="282" t="s">
        <v>1278</v>
      </c>
      <c r="G851" s="284" t="s">
        <v>71</v>
      </c>
      <c r="H851" s="283" t="s">
        <v>1468</v>
      </c>
      <c r="I851" s="283" t="s">
        <v>1469</v>
      </c>
      <c r="J851" s="779">
        <v>0.15</v>
      </c>
      <c r="K851" s="780"/>
    </row>
    <row r="852" spans="1:11" ht="21.95" customHeight="1" thickBot="1" x14ac:dyDescent="0.25">
      <c r="A852" s="282" t="s">
        <v>1276</v>
      </c>
      <c r="B852" s="282"/>
      <c r="C852" s="283" t="s">
        <v>1470</v>
      </c>
      <c r="D852" s="282" t="s">
        <v>1250</v>
      </c>
      <c r="E852" s="282" t="s">
        <v>1471</v>
      </c>
      <c r="F852" s="282" t="s">
        <v>1278</v>
      </c>
      <c r="G852" s="284" t="s">
        <v>749</v>
      </c>
      <c r="H852" s="283" t="s">
        <v>1472</v>
      </c>
      <c r="I852" s="283" t="s">
        <v>1473</v>
      </c>
      <c r="J852" s="770">
        <v>0</v>
      </c>
      <c r="K852" s="771"/>
    </row>
    <row r="853" spans="1:11" ht="0.95" customHeight="1" thickTop="1" x14ac:dyDescent="0.2">
      <c r="A853" s="281"/>
      <c r="B853" s="281"/>
      <c r="C853" s="281"/>
      <c r="D853" s="281"/>
      <c r="E853" s="281"/>
      <c r="F853" s="281"/>
      <c r="G853" s="281"/>
      <c r="H853" s="281"/>
      <c r="I853" s="281"/>
      <c r="J853" s="421"/>
      <c r="K853" s="421"/>
    </row>
    <row r="854" spans="1:11" ht="18" customHeight="1" x14ac:dyDescent="0.2">
      <c r="A854" s="272"/>
      <c r="B854" s="272" t="s">
        <v>54</v>
      </c>
      <c r="C854" s="273" t="s">
        <v>1239</v>
      </c>
      <c r="D854" s="272" t="s">
        <v>1240</v>
      </c>
      <c r="E854" s="272" t="s">
        <v>1241</v>
      </c>
      <c r="F854" s="272" t="s">
        <v>1242</v>
      </c>
      <c r="G854" s="274" t="s">
        <v>60</v>
      </c>
      <c r="H854" s="273" t="s">
        <v>58</v>
      </c>
      <c r="I854" s="273" t="s">
        <v>1243</v>
      </c>
      <c r="J854" s="775" t="s">
        <v>196</v>
      </c>
      <c r="K854" s="776"/>
    </row>
    <row r="855" spans="1:11" ht="21.95" customHeight="1" x14ac:dyDescent="0.2">
      <c r="A855" s="275" t="s">
        <v>1244</v>
      </c>
      <c r="B855" s="275" t="s">
        <v>4167</v>
      </c>
      <c r="C855" s="276" t="s">
        <v>1474</v>
      </c>
      <c r="D855" s="275" t="s">
        <v>1246</v>
      </c>
      <c r="E855" s="275" t="s">
        <v>266</v>
      </c>
      <c r="F855" s="275" t="s">
        <v>1364</v>
      </c>
      <c r="G855" s="277" t="s">
        <v>71</v>
      </c>
      <c r="H855" s="276">
        <v>1</v>
      </c>
      <c r="I855" s="276" t="s">
        <v>1475</v>
      </c>
      <c r="J855" s="777" t="s">
        <v>1475</v>
      </c>
      <c r="K855" s="778"/>
    </row>
    <row r="856" spans="1:11" ht="21.95" customHeight="1" x14ac:dyDescent="0.2">
      <c r="A856" s="278" t="s">
        <v>1248</v>
      </c>
      <c r="B856" s="278"/>
      <c r="C856" s="279" t="s">
        <v>1476</v>
      </c>
      <c r="D856" s="278" t="s">
        <v>1250</v>
      </c>
      <c r="E856" s="278" t="s">
        <v>1477</v>
      </c>
      <c r="F856" s="278" t="s">
        <v>1252</v>
      </c>
      <c r="G856" s="280" t="s">
        <v>1253</v>
      </c>
      <c r="H856" s="279" t="s">
        <v>1443</v>
      </c>
      <c r="I856" s="279" t="s">
        <v>1478</v>
      </c>
      <c r="J856" s="781">
        <v>0.22</v>
      </c>
      <c r="K856" s="782"/>
    </row>
    <row r="857" spans="1:11" ht="21.95" customHeight="1" x14ac:dyDescent="0.2">
      <c r="A857" s="278" t="s">
        <v>1248</v>
      </c>
      <c r="B857" s="278"/>
      <c r="C857" s="279" t="s">
        <v>1452</v>
      </c>
      <c r="D857" s="278" t="s">
        <v>1250</v>
      </c>
      <c r="E857" s="278" t="s">
        <v>1453</v>
      </c>
      <c r="F857" s="278" t="s">
        <v>1252</v>
      </c>
      <c r="G857" s="280" t="s">
        <v>1253</v>
      </c>
      <c r="H857" s="279" t="s">
        <v>1430</v>
      </c>
      <c r="I857" s="279" t="s">
        <v>1454</v>
      </c>
      <c r="J857" s="781">
        <v>0.52</v>
      </c>
      <c r="K857" s="782"/>
    </row>
    <row r="858" spans="1:11" ht="33" customHeight="1" thickBot="1" x14ac:dyDescent="0.25">
      <c r="A858" s="278" t="s">
        <v>1248</v>
      </c>
      <c r="B858" s="278"/>
      <c r="C858" s="279" t="s">
        <v>1479</v>
      </c>
      <c r="D858" s="278" t="s">
        <v>1250</v>
      </c>
      <c r="E858" s="278" t="s">
        <v>1480</v>
      </c>
      <c r="F858" s="278" t="s">
        <v>1481</v>
      </c>
      <c r="G858" s="280" t="s">
        <v>1482</v>
      </c>
      <c r="H858" s="279" t="s">
        <v>1483</v>
      </c>
      <c r="I858" s="279" t="s">
        <v>1484</v>
      </c>
      <c r="J858" s="784">
        <v>1.38</v>
      </c>
      <c r="K858" s="785"/>
    </row>
    <row r="859" spans="1:11" ht="0.95" customHeight="1" thickTop="1" x14ac:dyDescent="0.2">
      <c r="A859" s="281"/>
      <c r="B859" s="281"/>
      <c r="C859" s="281"/>
      <c r="D859" s="281"/>
      <c r="E859" s="281"/>
      <c r="F859" s="281"/>
      <c r="G859" s="281"/>
      <c r="H859" s="281"/>
      <c r="I859" s="281"/>
      <c r="J859" s="421"/>
      <c r="K859" s="421"/>
    </row>
    <row r="860" spans="1:11" ht="18" customHeight="1" x14ac:dyDescent="0.2">
      <c r="A860" s="272"/>
      <c r="B860" s="272" t="s">
        <v>54</v>
      </c>
      <c r="C860" s="273" t="s">
        <v>1239</v>
      </c>
      <c r="D860" s="272" t="s">
        <v>1240</v>
      </c>
      <c r="E860" s="272" t="s">
        <v>1241</v>
      </c>
      <c r="F860" s="272" t="s">
        <v>1242</v>
      </c>
      <c r="G860" s="274" t="s">
        <v>60</v>
      </c>
      <c r="H860" s="273" t="s">
        <v>58</v>
      </c>
      <c r="I860" s="273" t="s">
        <v>1243</v>
      </c>
      <c r="J860" s="775" t="s">
        <v>196</v>
      </c>
      <c r="K860" s="776"/>
    </row>
    <row r="861" spans="1:11" ht="21.95" customHeight="1" x14ac:dyDescent="0.2">
      <c r="A861" s="275" t="s">
        <v>1244</v>
      </c>
      <c r="B861" s="275" t="s">
        <v>4168</v>
      </c>
      <c r="C861" s="276" t="s">
        <v>1869</v>
      </c>
      <c r="D861" s="275" t="s">
        <v>1246</v>
      </c>
      <c r="E861" s="275" t="s">
        <v>298</v>
      </c>
      <c r="F861" s="275" t="s">
        <v>1385</v>
      </c>
      <c r="G861" s="277" t="s">
        <v>153</v>
      </c>
      <c r="H861" s="276">
        <v>1</v>
      </c>
      <c r="I861" s="276" t="s">
        <v>1870</v>
      </c>
      <c r="J861" s="777" t="s">
        <v>1870</v>
      </c>
      <c r="K861" s="778"/>
    </row>
    <row r="862" spans="1:11" ht="21.95" customHeight="1" thickBot="1" x14ac:dyDescent="0.25">
      <c r="A862" s="282" t="s">
        <v>1276</v>
      </c>
      <c r="B862" s="282"/>
      <c r="C862" s="283" t="s">
        <v>1871</v>
      </c>
      <c r="D862" s="282" t="s">
        <v>1250</v>
      </c>
      <c r="E862" s="282" t="s">
        <v>1872</v>
      </c>
      <c r="F862" s="282" t="s">
        <v>1278</v>
      </c>
      <c r="G862" s="284" t="s">
        <v>153</v>
      </c>
      <c r="H862" s="283" t="s">
        <v>1262</v>
      </c>
      <c r="I862" s="283" t="s">
        <v>1870</v>
      </c>
      <c r="J862" s="770">
        <v>27.91</v>
      </c>
      <c r="K862" s="771"/>
    </row>
    <row r="863" spans="1:11" ht="0.95" customHeight="1" thickTop="1" x14ac:dyDescent="0.2">
      <c r="A863" s="281"/>
      <c r="B863" s="281"/>
      <c r="C863" s="281"/>
      <c r="D863" s="281"/>
      <c r="E863" s="281"/>
      <c r="F863" s="281"/>
      <c r="G863" s="281"/>
      <c r="H863" s="281"/>
      <c r="I863" s="281"/>
      <c r="J863" s="421"/>
      <c r="K863" s="421"/>
    </row>
    <row r="864" spans="1:11" ht="18" customHeight="1" x14ac:dyDescent="0.2">
      <c r="A864" s="272"/>
      <c r="B864" s="272" t="s">
        <v>54</v>
      </c>
      <c r="C864" s="273" t="s">
        <v>1239</v>
      </c>
      <c r="D864" s="272" t="s">
        <v>1240</v>
      </c>
      <c r="E864" s="272" t="s">
        <v>1241</v>
      </c>
      <c r="F864" s="272" t="s">
        <v>1242</v>
      </c>
      <c r="G864" s="274" t="s">
        <v>60</v>
      </c>
      <c r="H864" s="273" t="s">
        <v>58</v>
      </c>
      <c r="I864" s="273" t="s">
        <v>1243</v>
      </c>
      <c r="J864" s="775" t="s">
        <v>196</v>
      </c>
      <c r="K864" s="776"/>
    </row>
    <row r="865" spans="1:11" ht="44.1" customHeight="1" x14ac:dyDescent="0.2">
      <c r="A865" s="275" t="s">
        <v>1244</v>
      </c>
      <c r="B865" s="275" t="s">
        <v>4169</v>
      </c>
      <c r="C865" s="276" t="s">
        <v>2138</v>
      </c>
      <c r="D865" s="275" t="s">
        <v>1246</v>
      </c>
      <c r="E865" s="275" t="s">
        <v>2139</v>
      </c>
      <c r="F865" s="275" t="s">
        <v>1364</v>
      </c>
      <c r="G865" s="277" t="s">
        <v>71</v>
      </c>
      <c r="H865" s="276">
        <v>1</v>
      </c>
      <c r="I865" s="276" t="s">
        <v>2141</v>
      </c>
      <c r="J865" s="777" t="s">
        <v>2141</v>
      </c>
      <c r="K865" s="778"/>
    </row>
    <row r="866" spans="1:11" ht="21.95" customHeight="1" x14ac:dyDescent="0.2">
      <c r="A866" s="278" t="s">
        <v>1248</v>
      </c>
      <c r="B866" s="278"/>
      <c r="C866" s="279" t="s">
        <v>1706</v>
      </c>
      <c r="D866" s="278" t="s">
        <v>1250</v>
      </c>
      <c r="E866" s="278" t="s">
        <v>1707</v>
      </c>
      <c r="F866" s="278" t="s">
        <v>1252</v>
      </c>
      <c r="G866" s="280" t="s">
        <v>1253</v>
      </c>
      <c r="H866" s="279" t="s">
        <v>2503</v>
      </c>
      <c r="I866" s="279" t="s">
        <v>1708</v>
      </c>
      <c r="J866" s="781">
        <v>0.39</v>
      </c>
      <c r="K866" s="782"/>
    </row>
    <row r="867" spans="1:11" ht="21.95" customHeight="1" x14ac:dyDescent="0.2">
      <c r="A867" s="278" t="s">
        <v>1248</v>
      </c>
      <c r="B867" s="278"/>
      <c r="C867" s="279" t="s">
        <v>1427</v>
      </c>
      <c r="D867" s="278" t="s">
        <v>1250</v>
      </c>
      <c r="E867" s="278" t="s">
        <v>1428</v>
      </c>
      <c r="F867" s="278" t="s">
        <v>1252</v>
      </c>
      <c r="G867" s="280" t="s">
        <v>1253</v>
      </c>
      <c r="H867" s="279" t="s">
        <v>2504</v>
      </c>
      <c r="I867" s="279" t="s">
        <v>1299</v>
      </c>
      <c r="J867" s="781">
        <v>2.96</v>
      </c>
      <c r="K867" s="782"/>
    </row>
    <row r="868" spans="1:11" ht="33" customHeight="1" x14ac:dyDescent="0.2">
      <c r="A868" s="278" t="s">
        <v>1248</v>
      </c>
      <c r="B868" s="278"/>
      <c r="C868" s="279" t="s">
        <v>2505</v>
      </c>
      <c r="D868" s="278" t="s">
        <v>1250</v>
      </c>
      <c r="E868" s="278" t="s">
        <v>2506</v>
      </c>
      <c r="F868" s="278" t="s">
        <v>1364</v>
      </c>
      <c r="G868" s="280" t="s">
        <v>71</v>
      </c>
      <c r="H868" s="279" t="s">
        <v>1262</v>
      </c>
      <c r="I868" s="279" t="s">
        <v>1618</v>
      </c>
      <c r="J868" s="781">
        <v>8.0500000000000007</v>
      </c>
      <c r="K868" s="782"/>
    </row>
    <row r="869" spans="1:11" ht="21.95" customHeight="1" x14ac:dyDescent="0.2">
      <c r="A869" s="282" t="s">
        <v>1276</v>
      </c>
      <c r="B869" s="282"/>
      <c r="C869" s="283" t="s">
        <v>1431</v>
      </c>
      <c r="D869" s="282" t="s">
        <v>1250</v>
      </c>
      <c r="E869" s="282" t="s">
        <v>1432</v>
      </c>
      <c r="F869" s="282" t="s">
        <v>1278</v>
      </c>
      <c r="G869" s="284" t="s">
        <v>71</v>
      </c>
      <c r="H869" s="283" t="s">
        <v>1339</v>
      </c>
      <c r="I869" s="283" t="s">
        <v>1434</v>
      </c>
      <c r="J869" s="779">
        <v>0.21</v>
      </c>
      <c r="K869" s="780"/>
    </row>
    <row r="870" spans="1:11" ht="33" customHeight="1" thickBot="1" x14ac:dyDescent="0.25">
      <c r="A870" s="282" t="s">
        <v>1276</v>
      </c>
      <c r="B870" s="282"/>
      <c r="C870" s="283" t="s">
        <v>2481</v>
      </c>
      <c r="D870" s="282" t="s">
        <v>1250</v>
      </c>
      <c r="E870" s="282" t="s">
        <v>2482</v>
      </c>
      <c r="F870" s="282" t="s">
        <v>1278</v>
      </c>
      <c r="G870" s="284" t="s">
        <v>52</v>
      </c>
      <c r="H870" s="283" t="s">
        <v>2507</v>
      </c>
      <c r="I870" s="283" t="s">
        <v>2484</v>
      </c>
      <c r="J870" s="770">
        <v>0.15</v>
      </c>
      <c r="K870" s="771"/>
    </row>
    <row r="871" spans="1:11" ht="0.95" customHeight="1" thickTop="1" x14ac:dyDescent="0.2">
      <c r="A871" s="281"/>
      <c r="B871" s="281"/>
      <c r="C871" s="281"/>
      <c r="D871" s="281"/>
      <c r="E871" s="281"/>
      <c r="F871" s="281"/>
      <c r="G871" s="281"/>
      <c r="H871" s="281"/>
      <c r="I871" s="281"/>
      <c r="J871" s="421"/>
      <c r="K871" s="421"/>
    </row>
    <row r="872" spans="1:11" ht="18" customHeight="1" x14ac:dyDescent="0.2">
      <c r="A872" s="272"/>
      <c r="B872" s="272" t="s">
        <v>54</v>
      </c>
      <c r="C872" s="273" t="s">
        <v>1239</v>
      </c>
      <c r="D872" s="272" t="s">
        <v>1240</v>
      </c>
      <c r="E872" s="272" t="s">
        <v>1241</v>
      </c>
      <c r="F872" s="272" t="s">
        <v>1242</v>
      </c>
      <c r="G872" s="274" t="s">
        <v>60</v>
      </c>
      <c r="H872" s="273" t="s">
        <v>58</v>
      </c>
      <c r="I872" s="273" t="s">
        <v>1243</v>
      </c>
      <c r="J872" s="775" t="s">
        <v>196</v>
      </c>
      <c r="K872" s="776"/>
    </row>
    <row r="873" spans="1:11" ht="44.1" customHeight="1" x14ac:dyDescent="0.2">
      <c r="A873" s="275" t="s">
        <v>1244</v>
      </c>
      <c r="B873" s="275" t="s">
        <v>4170</v>
      </c>
      <c r="C873" s="276" t="s">
        <v>2146</v>
      </c>
      <c r="D873" s="275" t="s">
        <v>1246</v>
      </c>
      <c r="E873" s="275" t="s">
        <v>2147</v>
      </c>
      <c r="F873" s="275" t="s">
        <v>1364</v>
      </c>
      <c r="G873" s="277" t="s">
        <v>71</v>
      </c>
      <c r="H873" s="276">
        <v>1</v>
      </c>
      <c r="I873" s="276" t="s">
        <v>1376</v>
      </c>
      <c r="J873" s="777" t="s">
        <v>1376</v>
      </c>
      <c r="K873" s="778"/>
    </row>
    <row r="874" spans="1:11" ht="21.95" customHeight="1" x14ac:dyDescent="0.2">
      <c r="A874" s="278" t="s">
        <v>1248</v>
      </c>
      <c r="B874" s="278"/>
      <c r="C874" s="279" t="s">
        <v>1706</v>
      </c>
      <c r="D874" s="278" t="s">
        <v>1250</v>
      </c>
      <c r="E874" s="278" t="s">
        <v>1707</v>
      </c>
      <c r="F874" s="278" t="s">
        <v>1252</v>
      </c>
      <c r="G874" s="280" t="s">
        <v>1253</v>
      </c>
      <c r="H874" s="279" t="s">
        <v>2497</v>
      </c>
      <c r="I874" s="279" t="s">
        <v>1708</v>
      </c>
      <c r="J874" s="781">
        <v>0.22</v>
      </c>
      <c r="K874" s="782"/>
    </row>
    <row r="875" spans="1:11" ht="21.95" customHeight="1" x14ac:dyDescent="0.2">
      <c r="A875" s="278" t="s">
        <v>1248</v>
      </c>
      <c r="B875" s="278"/>
      <c r="C875" s="279" t="s">
        <v>1427</v>
      </c>
      <c r="D875" s="278" t="s">
        <v>1250</v>
      </c>
      <c r="E875" s="278" t="s">
        <v>1428</v>
      </c>
      <c r="F875" s="278" t="s">
        <v>1252</v>
      </c>
      <c r="G875" s="280" t="s">
        <v>1253</v>
      </c>
      <c r="H875" s="279" t="s">
        <v>2498</v>
      </c>
      <c r="I875" s="279" t="s">
        <v>1299</v>
      </c>
      <c r="J875" s="781">
        <v>1.68</v>
      </c>
      <c r="K875" s="782"/>
    </row>
    <row r="876" spans="1:11" ht="33" customHeight="1" x14ac:dyDescent="0.2">
      <c r="A876" s="278" t="s">
        <v>1248</v>
      </c>
      <c r="B876" s="278"/>
      <c r="C876" s="279" t="s">
        <v>2499</v>
      </c>
      <c r="D876" s="278" t="s">
        <v>1250</v>
      </c>
      <c r="E876" s="278" t="s">
        <v>2500</v>
      </c>
      <c r="F876" s="278" t="s">
        <v>1364</v>
      </c>
      <c r="G876" s="280" t="s">
        <v>71</v>
      </c>
      <c r="H876" s="279" t="s">
        <v>1262</v>
      </c>
      <c r="I876" s="279" t="s">
        <v>2501</v>
      </c>
      <c r="J876" s="781">
        <v>8.18</v>
      </c>
      <c r="K876" s="782"/>
    </row>
    <row r="877" spans="1:11" ht="21.95" customHeight="1" x14ac:dyDescent="0.2">
      <c r="A877" s="282" t="s">
        <v>1276</v>
      </c>
      <c r="B877" s="282"/>
      <c r="C877" s="283" t="s">
        <v>1431</v>
      </c>
      <c r="D877" s="282" t="s">
        <v>1250</v>
      </c>
      <c r="E877" s="282" t="s">
        <v>1432</v>
      </c>
      <c r="F877" s="282" t="s">
        <v>1278</v>
      </c>
      <c r="G877" s="284" t="s">
        <v>71</v>
      </c>
      <c r="H877" s="283" t="s">
        <v>1339</v>
      </c>
      <c r="I877" s="283" t="s">
        <v>1434</v>
      </c>
      <c r="J877" s="779">
        <v>0.21</v>
      </c>
      <c r="K877" s="780"/>
    </row>
    <row r="878" spans="1:11" ht="33" customHeight="1" thickBot="1" x14ac:dyDescent="0.25">
      <c r="A878" s="282" t="s">
        <v>1276</v>
      </c>
      <c r="B878" s="282"/>
      <c r="C878" s="283" t="s">
        <v>2481</v>
      </c>
      <c r="D878" s="282" t="s">
        <v>1250</v>
      </c>
      <c r="E878" s="282" t="s">
        <v>2482</v>
      </c>
      <c r="F878" s="282" t="s">
        <v>1278</v>
      </c>
      <c r="G878" s="284" t="s">
        <v>52</v>
      </c>
      <c r="H878" s="283" t="s">
        <v>2502</v>
      </c>
      <c r="I878" s="283" t="s">
        <v>2484</v>
      </c>
      <c r="J878" s="770">
        <v>0.09</v>
      </c>
      <c r="K878" s="771"/>
    </row>
    <row r="879" spans="1:11" ht="0.95" customHeight="1" thickTop="1" x14ac:dyDescent="0.2">
      <c r="A879" s="281"/>
      <c r="B879" s="281"/>
      <c r="C879" s="281"/>
      <c r="D879" s="281"/>
      <c r="E879" s="281"/>
      <c r="F879" s="281"/>
      <c r="G879" s="281"/>
      <c r="H879" s="281"/>
      <c r="I879" s="281"/>
      <c r="J879" s="421"/>
      <c r="K879" s="421"/>
    </row>
    <row r="880" spans="1:11" ht="18" customHeight="1" x14ac:dyDescent="0.2">
      <c r="A880" s="272"/>
      <c r="B880" s="272" t="s">
        <v>54</v>
      </c>
      <c r="C880" s="273" t="s">
        <v>1239</v>
      </c>
      <c r="D880" s="272" t="s">
        <v>1240</v>
      </c>
      <c r="E880" s="272" t="s">
        <v>1241</v>
      </c>
      <c r="F880" s="272" t="s">
        <v>1242</v>
      </c>
      <c r="G880" s="274" t="s">
        <v>60</v>
      </c>
      <c r="H880" s="273" t="s">
        <v>58</v>
      </c>
      <c r="I880" s="273" t="s">
        <v>1243</v>
      </c>
      <c r="J880" s="775" t="s">
        <v>196</v>
      </c>
      <c r="K880" s="776"/>
    </row>
    <row r="881" spans="1:11" ht="21.95" customHeight="1" x14ac:dyDescent="0.2">
      <c r="A881" s="275" t="s">
        <v>1244</v>
      </c>
      <c r="B881" s="275" t="s">
        <v>4171</v>
      </c>
      <c r="C881" s="276" t="s">
        <v>1415</v>
      </c>
      <c r="D881" s="275" t="s">
        <v>1246</v>
      </c>
      <c r="E881" s="275" t="s">
        <v>421</v>
      </c>
      <c r="F881" s="275" t="s">
        <v>1252</v>
      </c>
      <c r="G881" s="277" t="s">
        <v>153</v>
      </c>
      <c r="H881" s="276">
        <v>1</v>
      </c>
      <c r="I881" s="276" t="s">
        <v>1416</v>
      </c>
      <c r="J881" s="777" t="s">
        <v>1416</v>
      </c>
      <c r="K881" s="778"/>
    </row>
    <row r="882" spans="1:11" ht="21.95" customHeight="1" x14ac:dyDescent="0.2">
      <c r="A882" s="278" t="s">
        <v>1248</v>
      </c>
      <c r="B882" s="278"/>
      <c r="C882" s="279" t="s">
        <v>1273</v>
      </c>
      <c r="D882" s="278" t="s">
        <v>1250</v>
      </c>
      <c r="E882" s="278" t="s">
        <v>1274</v>
      </c>
      <c r="F882" s="278" t="s">
        <v>1252</v>
      </c>
      <c r="G882" s="280" t="s">
        <v>1253</v>
      </c>
      <c r="H882" s="279" t="s">
        <v>1417</v>
      </c>
      <c r="I882" s="279" t="s">
        <v>1275</v>
      </c>
      <c r="J882" s="781">
        <v>27.78</v>
      </c>
      <c r="K882" s="782"/>
    </row>
    <row r="883" spans="1:11" ht="21.95" customHeight="1" thickBot="1" x14ac:dyDescent="0.25">
      <c r="A883" s="282" t="s">
        <v>1276</v>
      </c>
      <c r="B883" s="282"/>
      <c r="C883" s="283" t="s">
        <v>1418</v>
      </c>
      <c r="D883" s="282" t="s">
        <v>1250</v>
      </c>
      <c r="E883" s="282" t="s">
        <v>1419</v>
      </c>
      <c r="F883" s="282" t="s">
        <v>1278</v>
      </c>
      <c r="G883" s="284" t="s">
        <v>153</v>
      </c>
      <c r="H883" s="283" t="s">
        <v>1420</v>
      </c>
      <c r="I883" s="283" t="s">
        <v>1421</v>
      </c>
      <c r="J883" s="770">
        <v>57.93</v>
      </c>
      <c r="K883" s="771"/>
    </row>
    <row r="884" spans="1:11" ht="0.95" customHeight="1" thickTop="1" x14ac:dyDescent="0.2">
      <c r="A884" s="281"/>
      <c r="B884" s="281"/>
      <c r="C884" s="281"/>
      <c r="D884" s="281"/>
      <c r="E884" s="281"/>
      <c r="F884" s="281"/>
      <c r="G884" s="281"/>
      <c r="H884" s="281"/>
      <c r="I884" s="281"/>
      <c r="J884" s="421"/>
      <c r="K884" s="421"/>
    </row>
    <row r="885" spans="1:11" ht="18" customHeight="1" x14ac:dyDescent="0.2">
      <c r="A885" s="272"/>
      <c r="B885" s="272" t="s">
        <v>54</v>
      </c>
      <c r="C885" s="273" t="s">
        <v>1239</v>
      </c>
      <c r="D885" s="272" t="s">
        <v>1240</v>
      </c>
      <c r="E885" s="272" t="s">
        <v>1241</v>
      </c>
      <c r="F885" s="272" t="s">
        <v>1242</v>
      </c>
      <c r="G885" s="274" t="s">
        <v>60</v>
      </c>
      <c r="H885" s="273" t="s">
        <v>58</v>
      </c>
      <c r="I885" s="273" t="s">
        <v>1243</v>
      </c>
      <c r="J885" s="775" t="s">
        <v>196</v>
      </c>
      <c r="K885" s="776"/>
    </row>
    <row r="886" spans="1:11" ht="33" customHeight="1" x14ac:dyDescent="0.2">
      <c r="A886" s="275" t="s">
        <v>1244</v>
      </c>
      <c r="B886" s="275" t="s">
        <v>4172</v>
      </c>
      <c r="C886" s="276" t="s">
        <v>1873</v>
      </c>
      <c r="D886" s="275" t="s">
        <v>1246</v>
      </c>
      <c r="E886" s="275" t="s">
        <v>578</v>
      </c>
      <c r="F886" s="275" t="s">
        <v>1874</v>
      </c>
      <c r="G886" s="277" t="s">
        <v>153</v>
      </c>
      <c r="H886" s="276">
        <v>1</v>
      </c>
      <c r="I886" s="276" t="s">
        <v>1875</v>
      </c>
      <c r="J886" s="777" t="s">
        <v>1875</v>
      </c>
      <c r="K886" s="778"/>
    </row>
    <row r="887" spans="1:11" ht="21.95" customHeight="1" x14ac:dyDescent="0.2">
      <c r="A887" s="278" t="s">
        <v>1248</v>
      </c>
      <c r="B887" s="278"/>
      <c r="C887" s="279" t="s">
        <v>1876</v>
      </c>
      <c r="D887" s="278" t="s">
        <v>1250</v>
      </c>
      <c r="E887" s="278" t="s">
        <v>251</v>
      </c>
      <c r="F887" s="278" t="s">
        <v>1364</v>
      </c>
      <c r="G887" s="280" t="s">
        <v>153</v>
      </c>
      <c r="H887" s="279" t="s">
        <v>1262</v>
      </c>
      <c r="I887" s="279" t="s">
        <v>1877</v>
      </c>
      <c r="J887" s="781">
        <v>23.45</v>
      </c>
      <c r="K887" s="782"/>
    </row>
    <row r="888" spans="1:11" ht="33" customHeight="1" thickBot="1" x14ac:dyDescent="0.25">
      <c r="A888" s="282" t="s">
        <v>1276</v>
      </c>
      <c r="B888" s="282"/>
      <c r="C888" s="283" t="s">
        <v>1878</v>
      </c>
      <c r="D888" s="282" t="s">
        <v>1250</v>
      </c>
      <c r="E888" s="282" t="s">
        <v>1879</v>
      </c>
      <c r="F888" s="282" t="s">
        <v>1278</v>
      </c>
      <c r="G888" s="284" t="s">
        <v>153</v>
      </c>
      <c r="H888" s="283" t="s">
        <v>1262</v>
      </c>
      <c r="I888" s="283" t="s">
        <v>1880</v>
      </c>
      <c r="J888" s="770">
        <v>364.73</v>
      </c>
      <c r="K888" s="771"/>
    </row>
    <row r="889" spans="1:11" ht="0.95" customHeight="1" thickTop="1" x14ac:dyDescent="0.2">
      <c r="A889" s="281"/>
      <c r="B889" s="281"/>
      <c r="C889" s="281"/>
      <c r="D889" s="281"/>
      <c r="E889" s="281"/>
      <c r="F889" s="281"/>
      <c r="G889" s="281"/>
      <c r="H889" s="281"/>
      <c r="I889" s="281"/>
      <c r="J889" s="421"/>
      <c r="K889" s="421"/>
    </row>
    <row r="890" spans="1:11" ht="18" customHeight="1" x14ac:dyDescent="0.2">
      <c r="A890" s="272"/>
      <c r="B890" s="272" t="s">
        <v>54</v>
      </c>
      <c r="C890" s="273" t="s">
        <v>1239</v>
      </c>
      <c r="D890" s="272" t="s">
        <v>1240</v>
      </c>
      <c r="E890" s="272" t="s">
        <v>1241</v>
      </c>
      <c r="F890" s="272" t="s">
        <v>1242</v>
      </c>
      <c r="G890" s="274" t="s">
        <v>60</v>
      </c>
      <c r="H890" s="273" t="s">
        <v>58</v>
      </c>
      <c r="I890" s="273" t="s">
        <v>1243</v>
      </c>
      <c r="J890" s="775" t="s">
        <v>196</v>
      </c>
      <c r="K890" s="776"/>
    </row>
    <row r="891" spans="1:11" ht="33" customHeight="1" x14ac:dyDescent="0.2">
      <c r="A891" s="275" t="s">
        <v>1244</v>
      </c>
      <c r="B891" s="275" t="s">
        <v>4173</v>
      </c>
      <c r="C891" s="276" t="s">
        <v>1873</v>
      </c>
      <c r="D891" s="275" t="s">
        <v>1246</v>
      </c>
      <c r="E891" s="275" t="s">
        <v>578</v>
      </c>
      <c r="F891" s="275" t="s">
        <v>1874</v>
      </c>
      <c r="G891" s="277" t="s">
        <v>153</v>
      </c>
      <c r="H891" s="276">
        <v>1</v>
      </c>
      <c r="I891" s="276" t="s">
        <v>1875</v>
      </c>
      <c r="J891" s="777" t="s">
        <v>1875</v>
      </c>
      <c r="K891" s="778"/>
    </row>
    <row r="892" spans="1:11" ht="21.95" customHeight="1" x14ac:dyDescent="0.2">
      <c r="A892" s="278" t="s">
        <v>1248</v>
      </c>
      <c r="B892" s="278"/>
      <c r="C892" s="279" t="s">
        <v>1876</v>
      </c>
      <c r="D892" s="278" t="s">
        <v>1250</v>
      </c>
      <c r="E892" s="278" t="s">
        <v>251</v>
      </c>
      <c r="F892" s="278" t="s">
        <v>1364</v>
      </c>
      <c r="G892" s="280" t="s">
        <v>153</v>
      </c>
      <c r="H892" s="279" t="s">
        <v>1262</v>
      </c>
      <c r="I892" s="279" t="s">
        <v>1877</v>
      </c>
      <c r="J892" s="781">
        <v>23.45</v>
      </c>
      <c r="K892" s="782"/>
    </row>
    <row r="893" spans="1:11" ht="33" customHeight="1" thickBot="1" x14ac:dyDescent="0.25">
      <c r="A893" s="282" t="s">
        <v>1276</v>
      </c>
      <c r="B893" s="282"/>
      <c r="C893" s="283" t="s">
        <v>1878</v>
      </c>
      <c r="D893" s="282" t="s">
        <v>1250</v>
      </c>
      <c r="E893" s="282" t="s">
        <v>1879</v>
      </c>
      <c r="F893" s="282" t="s">
        <v>1278</v>
      </c>
      <c r="G893" s="284" t="s">
        <v>153</v>
      </c>
      <c r="H893" s="283" t="s">
        <v>1262</v>
      </c>
      <c r="I893" s="283" t="s">
        <v>1880</v>
      </c>
      <c r="J893" s="770">
        <v>364.73</v>
      </c>
      <c r="K893" s="771"/>
    </row>
    <row r="894" spans="1:11" ht="0.95" customHeight="1" thickTop="1" x14ac:dyDescent="0.2">
      <c r="A894" s="281"/>
      <c r="B894" s="281"/>
      <c r="C894" s="281"/>
      <c r="D894" s="281"/>
      <c r="E894" s="281"/>
      <c r="F894" s="281"/>
      <c r="G894" s="281"/>
      <c r="H894" s="281"/>
      <c r="I894" s="281"/>
      <c r="J894" s="421"/>
      <c r="K894" s="421"/>
    </row>
    <row r="895" spans="1:11" ht="18" customHeight="1" x14ac:dyDescent="0.2">
      <c r="A895" s="272"/>
      <c r="B895" s="272" t="s">
        <v>54</v>
      </c>
      <c r="C895" s="273" t="s">
        <v>1239</v>
      </c>
      <c r="D895" s="272" t="s">
        <v>1240</v>
      </c>
      <c r="E895" s="272" t="s">
        <v>1241</v>
      </c>
      <c r="F895" s="272" t="s">
        <v>1242</v>
      </c>
      <c r="G895" s="274" t="s">
        <v>60</v>
      </c>
      <c r="H895" s="273" t="s">
        <v>58</v>
      </c>
      <c r="I895" s="273" t="s">
        <v>1243</v>
      </c>
      <c r="J895" s="775" t="s">
        <v>196</v>
      </c>
      <c r="K895" s="776"/>
    </row>
    <row r="896" spans="1:11" ht="33" customHeight="1" x14ac:dyDescent="0.2">
      <c r="A896" s="275" t="s">
        <v>1244</v>
      </c>
      <c r="B896" s="275" t="s">
        <v>4174</v>
      </c>
      <c r="C896" s="276" t="s">
        <v>1873</v>
      </c>
      <c r="D896" s="275" t="s">
        <v>1246</v>
      </c>
      <c r="E896" s="275" t="s">
        <v>578</v>
      </c>
      <c r="F896" s="275" t="s">
        <v>1874</v>
      </c>
      <c r="G896" s="277" t="s">
        <v>153</v>
      </c>
      <c r="H896" s="276">
        <v>1</v>
      </c>
      <c r="I896" s="276" t="s">
        <v>1875</v>
      </c>
      <c r="J896" s="777" t="s">
        <v>1875</v>
      </c>
      <c r="K896" s="778"/>
    </row>
    <row r="897" spans="1:11" ht="21.95" customHeight="1" x14ac:dyDescent="0.2">
      <c r="A897" s="278" t="s">
        <v>1248</v>
      </c>
      <c r="B897" s="278"/>
      <c r="C897" s="279" t="s">
        <v>1876</v>
      </c>
      <c r="D897" s="278" t="s">
        <v>1250</v>
      </c>
      <c r="E897" s="278" t="s">
        <v>251</v>
      </c>
      <c r="F897" s="278" t="s">
        <v>1364</v>
      </c>
      <c r="G897" s="280" t="s">
        <v>153</v>
      </c>
      <c r="H897" s="279" t="s">
        <v>1262</v>
      </c>
      <c r="I897" s="279" t="s">
        <v>1877</v>
      </c>
      <c r="J897" s="781">
        <v>23.45</v>
      </c>
      <c r="K897" s="782"/>
    </row>
    <row r="898" spans="1:11" ht="33" customHeight="1" thickBot="1" x14ac:dyDescent="0.25">
      <c r="A898" s="282" t="s">
        <v>1276</v>
      </c>
      <c r="B898" s="282"/>
      <c r="C898" s="283" t="s">
        <v>1878</v>
      </c>
      <c r="D898" s="282" t="s">
        <v>1250</v>
      </c>
      <c r="E898" s="282" t="s">
        <v>1879</v>
      </c>
      <c r="F898" s="282" t="s">
        <v>1278</v>
      </c>
      <c r="G898" s="284" t="s">
        <v>153</v>
      </c>
      <c r="H898" s="283" t="s">
        <v>1262</v>
      </c>
      <c r="I898" s="283" t="s">
        <v>1880</v>
      </c>
      <c r="J898" s="770">
        <v>364.73</v>
      </c>
      <c r="K898" s="771"/>
    </row>
    <row r="899" spans="1:11" ht="0.95" customHeight="1" thickTop="1" x14ac:dyDescent="0.2">
      <c r="A899" s="281"/>
      <c r="B899" s="281"/>
      <c r="C899" s="281"/>
      <c r="D899" s="281"/>
      <c r="E899" s="281"/>
      <c r="F899" s="281"/>
      <c r="G899" s="281"/>
      <c r="H899" s="281"/>
      <c r="I899" s="281"/>
      <c r="J899" s="421"/>
      <c r="K899" s="421"/>
    </row>
    <row r="900" spans="1:11" ht="18" customHeight="1" x14ac:dyDescent="0.2">
      <c r="A900" s="272"/>
      <c r="B900" s="272" t="s">
        <v>54</v>
      </c>
      <c r="C900" s="273" t="s">
        <v>1239</v>
      </c>
      <c r="D900" s="272" t="s">
        <v>1240</v>
      </c>
      <c r="E900" s="272" t="s">
        <v>1241</v>
      </c>
      <c r="F900" s="272" t="s">
        <v>1242</v>
      </c>
      <c r="G900" s="274" t="s">
        <v>60</v>
      </c>
      <c r="H900" s="273" t="s">
        <v>58</v>
      </c>
      <c r="I900" s="273" t="s">
        <v>1243</v>
      </c>
      <c r="J900" s="775" t="s">
        <v>196</v>
      </c>
      <c r="K900" s="776"/>
    </row>
    <row r="901" spans="1:11" ht="44.1" customHeight="1" x14ac:dyDescent="0.2">
      <c r="A901" s="275" t="s">
        <v>1244</v>
      </c>
      <c r="B901" s="275" t="s">
        <v>4175</v>
      </c>
      <c r="C901" s="276" t="s">
        <v>2138</v>
      </c>
      <c r="D901" s="275" t="s">
        <v>1246</v>
      </c>
      <c r="E901" s="275" t="s">
        <v>2139</v>
      </c>
      <c r="F901" s="275" t="s">
        <v>1364</v>
      </c>
      <c r="G901" s="277" t="s">
        <v>71</v>
      </c>
      <c r="H901" s="276">
        <v>1</v>
      </c>
      <c r="I901" s="276" t="s">
        <v>2141</v>
      </c>
      <c r="J901" s="777" t="s">
        <v>2141</v>
      </c>
      <c r="K901" s="778"/>
    </row>
    <row r="902" spans="1:11" ht="21.95" customHeight="1" x14ac:dyDescent="0.2">
      <c r="A902" s="278" t="s">
        <v>1248</v>
      </c>
      <c r="B902" s="278"/>
      <c r="C902" s="279" t="s">
        <v>1706</v>
      </c>
      <c r="D902" s="278" t="s">
        <v>1250</v>
      </c>
      <c r="E902" s="278" t="s">
        <v>1707</v>
      </c>
      <c r="F902" s="278" t="s">
        <v>1252</v>
      </c>
      <c r="G902" s="280" t="s">
        <v>1253</v>
      </c>
      <c r="H902" s="279" t="s">
        <v>2503</v>
      </c>
      <c r="I902" s="279" t="s">
        <v>1708</v>
      </c>
      <c r="J902" s="781">
        <v>0.39</v>
      </c>
      <c r="K902" s="782"/>
    </row>
    <row r="903" spans="1:11" ht="21.95" customHeight="1" x14ac:dyDescent="0.2">
      <c r="A903" s="278" t="s">
        <v>1248</v>
      </c>
      <c r="B903" s="278"/>
      <c r="C903" s="279" t="s">
        <v>1427</v>
      </c>
      <c r="D903" s="278" t="s">
        <v>1250</v>
      </c>
      <c r="E903" s="278" t="s">
        <v>1428</v>
      </c>
      <c r="F903" s="278" t="s">
        <v>1252</v>
      </c>
      <c r="G903" s="280" t="s">
        <v>1253</v>
      </c>
      <c r="H903" s="279" t="s">
        <v>2504</v>
      </c>
      <c r="I903" s="279" t="s">
        <v>1299</v>
      </c>
      <c r="J903" s="781">
        <v>2.96</v>
      </c>
      <c r="K903" s="782"/>
    </row>
    <row r="904" spans="1:11" ht="33" customHeight="1" x14ac:dyDescent="0.2">
      <c r="A904" s="278" t="s">
        <v>1248</v>
      </c>
      <c r="B904" s="278"/>
      <c r="C904" s="279" t="s">
        <v>2505</v>
      </c>
      <c r="D904" s="278" t="s">
        <v>1250</v>
      </c>
      <c r="E904" s="278" t="s">
        <v>2506</v>
      </c>
      <c r="F904" s="278" t="s">
        <v>1364</v>
      </c>
      <c r="G904" s="280" t="s">
        <v>71</v>
      </c>
      <c r="H904" s="279" t="s">
        <v>1262</v>
      </c>
      <c r="I904" s="279" t="s">
        <v>1618</v>
      </c>
      <c r="J904" s="781">
        <v>8.0500000000000007</v>
      </c>
      <c r="K904" s="782"/>
    </row>
    <row r="905" spans="1:11" ht="21.95" customHeight="1" x14ac:dyDescent="0.2">
      <c r="A905" s="282" t="s">
        <v>1276</v>
      </c>
      <c r="B905" s="282"/>
      <c r="C905" s="283" t="s">
        <v>1431</v>
      </c>
      <c r="D905" s="282" t="s">
        <v>1250</v>
      </c>
      <c r="E905" s="282" t="s">
        <v>1432</v>
      </c>
      <c r="F905" s="282" t="s">
        <v>1278</v>
      </c>
      <c r="G905" s="284" t="s">
        <v>71</v>
      </c>
      <c r="H905" s="283" t="s">
        <v>1339</v>
      </c>
      <c r="I905" s="283" t="s">
        <v>1434</v>
      </c>
      <c r="J905" s="779">
        <v>0.21</v>
      </c>
      <c r="K905" s="780"/>
    </row>
    <row r="906" spans="1:11" ht="33" customHeight="1" thickBot="1" x14ac:dyDescent="0.25">
      <c r="A906" s="282" t="s">
        <v>1276</v>
      </c>
      <c r="B906" s="282"/>
      <c r="C906" s="283" t="s">
        <v>2481</v>
      </c>
      <c r="D906" s="282" t="s">
        <v>1250</v>
      </c>
      <c r="E906" s="282" t="s">
        <v>2482</v>
      </c>
      <c r="F906" s="282" t="s">
        <v>1278</v>
      </c>
      <c r="G906" s="284" t="s">
        <v>52</v>
      </c>
      <c r="H906" s="283" t="s">
        <v>2507</v>
      </c>
      <c r="I906" s="283" t="s">
        <v>2484</v>
      </c>
      <c r="J906" s="770">
        <v>0.15</v>
      </c>
      <c r="K906" s="771"/>
    </row>
    <row r="907" spans="1:11" ht="0.95" customHeight="1" thickTop="1" x14ac:dyDescent="0.2">
      <c r="A907" s="281"/>
      <c r="B907" s="281"/>
      <c r="C907" s="281"/>
      <c r="D907" s="281"/>
      <c r="E907" s="281"/>
      <c r="F907" s="281"/>
      <c r="G907" s="281"/>
      <c r="H907" s="281"/>
      <c r="I907" s="281"/>
      <c r="J907" s="421"/>
      <c r="K907" s="421"/>
    </row>
    <row r="908" spans="1:11" ht="18" customHeight="1" x14ac:dyDescent="0.2">
      <c r="A908" s="272"/>
      <c r="B908" s="272" t="s">
        <v>54</v>
      </c>
      <c r="C908" s="273" t="s">
        <v>1239</v>
      </c>
      <c r="D908" s="272" t="s">
        <v>1240</v>
      </c>
      <c r="E908" s="272" t="s">
        <v>1241</v>
      </c>
      <c r="F908" s="272" t="s">
        <v>1242</v>
      </c>
      <c r="G908" s="274" t="s">
        <v>60</v>
      </c>
      <c r="H908" s="273" t="s">
        <v>58</v>
      </c>
      <c r="I908" s="273" t="s">
        <v>1243</v>
      </c>
      <c r="J908" s="775" t="s">
        <v>196</v>
      </c>
      <c r="K908" s="776"/>
    </row>
    <row r="909" spans="1:11" ht="44.1" customHeight="1" x14ac:dyDescent="0.2">
      <c r="A909" s="275" t="s">
        <v>1244</v>
      </c>
      <c r="B909" s="275" t="s">
        <v>4176</v>
      </c>
      <c r="C909" s="276" t="s">
        <v>2142</v>
      </c>
      <c r="D909" s="275" t="s">
        <v>1246</v>
      </c>
      <c r="E909" s="275" t="s">
        <v>2143</v>
      </c>
      <c r="F909" s="275" t="s">
        <v>1364</v>
      </c>
      <c r="G909" s="277" t="s">
        <v>71</v>
      </c>
      <c r="H909" s="276">
        <v>1</v>
      </c>
      <c r="I909" s="276" t="s">
        <v>2145</v>
      </c>
      <c r="J909" s="777" t="s">
        <v>2145</v>
      </c>
      <c r="K909" s="778"/>
    </row>
    <row r="910" spans="1:11" ht="21.95" customHeight="1" x14ac:dyDescent="0.2">
      <c r="A910" s="278" t="s">
        <v>1248</v>
      </c>
      <c r="B910" s="278"/>
      <c r="C910" s="279" t="s">
        <v>1706</v>
      </c>
      <c r="D910" s="278" t="s">
        <v>1250</v>
      </c>
      <c r="E910" s="278" t="s">
        <v>1707</v>
      </c>
      <c r="F910" s="278" t="s">
        <v>1252</v>
      </c>
      <c r="G910" s="280" t="s">
        <v>1253</v>
      </c>
      <c r="H910" s="279" t="s">
        <v>2491</v>
      </c>
      <c r="I910" s="279" t="s">
        <v>1708</v>
      </c>
      <c r="J910" s="781">
        <v>0.3</v>
      </c>
      <c r="K910" s="782"/>
    </row>
    <row r="911" spans="1:11" ht="21.95" customHeight="1" x14ac:dyDescent="0.2">
      <c r="A911" s="278" t="s">
        <v>1248</v>
      </c>
      <c r="B911" s="278"/>
      <c r="C911" s="279" t="s">
        <v>1427</v>
      </c>
      <c r="D911" s="278" t="s">
        <v>1250</v>
      </c>
      <c r="E911" s="278" t="s">
        <v>1428</v>
      </c>
      <c r="F911" s="278" t="s">
        <v>1252</v>
      </c>
      <c r="G911" s="280" t="s">
        <v>1253</v>
      </c>
      <c r="H911" s="279" t="s">
        <v>2492</v>
      </c>
      <c r="I911" s="279" t="s">
        <v>1299</v>
      </c>
      <c r="J911" s="781">
        <v>2.2599999999999998</v>
      </c>
      <c r="K911" s="782"/>
    </row>
    <row r="912" spans="1:11" ht="33" customHeight="1" x14ac:dyDescent="0.2">
      <c r="A912" s="278" t="s">
        <v>1248</v>
      </c>
      <c r="B912" s="278"/>
      <c r="C912" s="279" t="s">
        <v>2493</v>
      </c>
      <c r="D912" s="278" t="s">
        <v>1250</v>
      </c>
      <c r="E912" s="278" t="s">
        <v>2494</v>
      </c>
      <c r="F912" s="278" t="s">
        <v>1364</v>
      </c>
      <c r="G912" s="280" t="s">
        <v>71</v>
      </c>
      <c r="H912" s="279" t="s">
        <v>1262</v>
      </c>
      <c r="I912" s="279" t="s">
        <v>2495</v>
      </c>
      <c r="J912" s="781">
        <v>7.92</v>
      </c>
      <c r="K912" s="782"/>
    </row>
    <row r="913" spans="1:11" ht="21.95" customHeight="1" x14ac:dyDescent="0.2">
      <c r="A913" s="282" t="s">
        <v>1276</v>
      </c>
      <c r="B913" s="282"/>
      <c r="C913" s="283" t="s">
        <v>1431</v>
      </c>
      <c r="D913" s="282" t="s">
        <v>1250</v>
      </c>
      <c r="E913" s="282" t="s">
        <v>1432</v>
      </c>
      <c r="F913" s="282" t="s">
        <v>1278</v>
      </c>
      <c r="G913" s="284" t="s">
        <v>71</v>
      </c>
      <c r="H913" s="283" t="s">
        <v>1339</v>
      </c>
      <c r="I913" s="283" t="s">
        <v>1434</v>
      </c>
      <c r="J913" s="779">
        <v>0.21</v>
      </c>
      <c r="K913" s="780"/>
    </row>
    <row r="914" spans="1:11" ht="33" customHeight="1" thickBot="1" x14ac:dyDescent="0.25">
      <c r="A914" s="282" t="s">
        <v>1276</v>
      </c>
      <c r="B914" s="282"/>
      <c r="C914" s="283" t="s">
        <v>2481</v>
      </c>
      <c r="D914" s="282" t="s">
        <v>1250</v>
      </c>
      <c r="E914" s="282" t="s">
        <v>2482</v>
      </c>
      <c r="F914" s="282" t="s">
        <v>1278</v>
      </c>
      <c r="G914" s="284" t="s">
        <v>52</v>
      </c>
      <c r="H914" s="283" t="s">
        <v>2496</v>
      </c>
      <c r="I914" s="283" t="s">
        <v>2484</v>
      </c>
      <c r="J914" s="770">
        <v>0.12</v>
      </c>
      <c r="K914" s="771"/>
    </row>
    <row r="915" spans="1:11" ht="0.95" customHeight="1" thickTop="1" x14ac:dyDescent="0.2">
      <c r="A915" s="281"/>
      <c r="B915" s="281"/>
      <c r="C915" s="281"/>
      <c r="D915" s="281"/>
      <c r="E915" s="281"/>
      <c r="F915" s="281"/>
      <c r="G915" s="281"/>
      <c r="H915" s="281"/>
      <c r="I915" s="281"/>
      <c r="J915" s="421"/>
      <c r="K915" s="421"/>
    </row>
    <row r="916" spans="1:11" ht="18" customHeight="1" x14ac:dyDescent="0.2">
      <c r="A916" s="272"/>
      <c r="B916" s="272" t="s">
        <v>54</v>
      </c>
      <c r="C916" s="273" t="s">
        <v>1239</v>
      </c>
      <c r="D916" s="272" t="s">
        <v>1240</v>
      </c>
      <c r="E916" s="272" t="s">
        <v>1241</v>
      </c>
      <c r="F916" s="272" t="s">
        <v>1242</v>
      </c>
      <c r="G916" s="274" t="s">
        <v>60</v>
      </c>
      <c r="H916" s="273" t="s">
        <v>58</v>
      </c>
      <c r="I916" s="273" t="s">
        <v>1243</v>
      </c>
      <c r="J916" s="775" t="s">
        <v>196</v>
      </c>
      <c r="K916" s="776"/>
    </row>
    <row r="917" spans="1:11" ht="44.1" customHeight="1" x14ac:dyDescent="0.2">
      <c r="A917" s="275" t="s">
        <v>1244</v>
      </c>
      <c r="B917" s="275" t="s">
        <v>4177</v>
      </c>
      <c r="C917" s="276" t="s">
        <v>2149</v>
      </c>
      <c r="D917" s="275" t="s">
        <v>1246</v>
      </c>
      <c r="E917" s="275" t="s">
        <v>2150</v>
      </c>
      <c r="F917" s="275" t="s">
        <v>1364</v>
      </c>
      <c r="G917" s="277" t="s">
        <v>71</v>
      </c>
      <c r="H917" s="276">
        <v>1</v>
      </c>
      <c r="I917" s="276" t="s">
        <v>2152</v>
      </c>
      <c r="J917" s="777" t="s">
        <v>2152</v>
      </c>
      <c r="K917" s="778"/>
    </row>
    <row r="918" spans="1:11" ht="21.95" customHeight="1" x14ac:dyDescent="0.2">
      <c r="A918" s="278" t="s">
        <v>1248</v>
      </c>
      <c r="B918" s="278"/>
      <c r="C918" s="279" t="s">
        <v>1706</v>
      </c>
      <c r="D918" s="278" t="s">
        <v>1250</v>
      </c>
      <c r="E918" s="278" t="s">
        <v>1707</v>
      </c>
      <c r="F918" s="278" t="s">
        <v>1252</v>
      </c>
      <c r="G918" s="280" t="s">
        <v>1253</v>
      </c>
      <c r="H918" s="279" t="s">
        <v>2471</v>
      </c>
      <c r="I918" s="279" t="s">
        <v>1708</v>
      </c>
      <c r="J918" s="781">
        <v>0.16</v>
      </c>
      <c r="K918" s="782"/>
    </row>
    <row r="919" spans="1:11" ht="21.95" customHeight="1" x14ac:dyDescent="0.2">
      <c r="A919" s="278" t="s">
        <v>1248</v>
      </c>
      <c r="B919" s="278"/>
      <c r="C919" s="279" t="s">
        <v>1427</v>
      </c>
      <c r="D919" s="278" t="s">
        <v>1250</v>
      </c>
      <c r="E919" s="278" t="s">
        <v>1428</v>
      </c>
      <c r="F919" s="278" t="s">
        <v>1252</v>
      </c>
      <c r="G919" s="280" t="s">
        <v>1253</v>
      </c>
      <c r="H919" s="279" t="s">
        <v>2472</v>
      </c>
      <c r="I919" s="279" t="s">
        <v>1299</v>
      </c>
      <c r="J919" s="781">
        <v>1.26</v>
      </c>
      <c r="K919" s="782"/>
    </row>
    <row r="920" spans="1:11" ht="33" customHeight="1" x14ac:dyDescent="0.2">
      <c r="A920" s="278" t="s">
        <v>1248</v>
      </c>
      <c r="B920" s="278"/>
      <c r="C920" s="279" t="s">
        <v>2473</v>
      </c>
      <c r="D920" s="278" t="s">
        <v>1250</v>
      </c>
      <c r="E920" s="278" t="s">
        <v>2474</v>
      </c>
      <c r="F920" s="278" t="s">
        <v>1364</v>
      </c>
      <c r="G920" s="280" t="s">
        <v>71</v>
      </c>
      <c r="H920" s="279" t="s">
        <v>1262</v>
      </c>
      <c r="I920" s="279" t="s">
        <v>2475</v>
      </c>
      <c r="J920" s="781">
        <v>6.75</v>
      </c>
      <c r="K920" s="782"/>
    </row>
    <row r="921" spans="1:11" ht="21.95" customHeight="1" thickBot="1" x14ac:dyDescent="0.25">
      <c r="A921" s="282" t="s">
        <v>1276</v>
      </c>
      <c r="B921" s="282"/>
      <c r="C921" s="283" t="s">
        <v>1431</v>
      </c>
      <c r="D921" s="282" t="s">
        <v>1250</v>
      </c>
      <c r="E921" s="282" t="s">
        <v>1432</v>
      </c>
      <c r="F921" s="282" t="s">
        <v>1278</v>
      </c>
      <c r="G921" s="284" t="s">
        <v>71</v>
      </c>
      <c r="H921" s="283" t="s">
        <v>1339</v>
      </c>
      <c r="I921" s="283" t="s">
        <v>1434</v>
      </c>
      <c r="J921" s="770">
        <v>0.21</v>
      </c>
      <c r="K921" s="771"/>
    </row>
    <row r="922" spans="1:11" ht="0.95" customHeight="1" thickTop="1" x14ac:dyDescent="0.2">
      <c r="A922" s="281"/>
      <c r="B922" s="281"/>
      <c r="C922" s="281"/>
      <c r="D922" s="281"/>
      <c r="E922" s="281"/>
      <c r="F922" s="281"/>
      <c r="G922" s="281"/>
      <c r="H922" s="281"/>
      <c r="I922" s="281"/>
      <c r="J922" s="421"/>
      <c r="K922" s="421"/>
    </row>
    <row r="923" spans="1:11" ht="18" customHeight="1" x14ac:dyDescent="0.2">
      <c r="A923" s="272"/>
      <c r="B923" s="272" t="s">
        <v>54</v>
      </c>
      <c r="C923" s="273" t="s">
        <v>1239</v>
      </c>
      <c r="D923" s="272" t="s">
        <v>1240</v>
      </c>
      <c r="E923" s="272" t="s">
        <v>1241</v>
      </c>
      <c r="F923" s="272" t="s">
        <v>1242</v>
      </c>
      <c r="G923" s="274" t="s">
        <v>60</v>
      </c>
      <c r="H923" s="273" t="s">
        <v>58</v>
      </c>
      <c r="I923" s="273" t="s">
        <v>1243</v>
      </c>
      <c r="J923" s="775" t="s">
        <v>196</v>
      </c>
      <c r="K923" s="776"/>
    </row>
    <row r="924" spans="1:11" ht="44.1" customHeight="1" x14ac:dyDescent="0.2">
      <c r="A924" s="275" t="s">
        <v>1244</v>
      </c>
      <c r="B924" s="275" t="s">
        <v>4178</v>
      </c>
      <c r="C924" s="276" t="s">
        <v>2153</v>
      </c>
      <c r="D924" s="275" t="s">
        <v>1246</v>
      </c>
      <c r="E924" s="275" t="s">
        <v>2154</v>
      </c>
      <c r="F924" s="275" t="s">
        <v>1364</v>
      </c>
      <c r="G924" s="277" t="s">
        <v>71</v>
      </c>
      <c r="H924" s="276">
        <v>1</v>
      </c>
      <c r="I924" s="276" t="s">
        <v>2156</v>
      </c>
      <c r="J924" s="777" t="s">
        <v>2156</v>
      </c>
      <c r="K924" s="778"/>
    </row>
    <row r="925" spans="1:11" ht="21.95" customHeight="1" x14ac:dyDescent="0.2">
      <c r="A925" s="278" t="s">
        <v>1248</v>
      </c>
      <c r="B925" s="278"/>
      <c r="C925" s="279" t="s">
        <v>1706</v>
      </c>
      <c r="D925" s="278" t="s">
        <v>1250</v>
      </c>
      <c r="E925" s="278" t="s">
        <v>1707</v>
      </c>
      <c r="F925" s="278" t="s">
        <v>1252</v>
      </c>
      <c r="G925" s="280" t="s">
        <v>1253</v>
      </c>
      <c r="H925" s="279" t="s">
        <v>2476</v>
      </c>
      <c r="I925" s="279" t="s">
        <v>1708</v>
      </c>
      <c r="J925" s="781">
        <v>0.12</v>
      </c>
      <c r="K925" s="782"/>
    </row>
    <row r="926" spans="1:11" ht="21.95" customHeight="1" x14ac:dyDescent="0.2">
      <c r="A926" s="278" t="s">
        <v>1248</v>
      </c>
      <c r="B926" s="278"/>
      <c r="C926" s="279" t="s">
        <v>1427</v>
      </c>
      <c r="D926" s="278" t="s">
        <v>1250</v>
      </c>
      <c r="E926" s="278" t="s">
        <v>1428</v>
      </c>
      <c r="F926" s="278" t="s">
        <v>1252</v>
      </c>
      <c r="G926" s="280" t="s">
        <v>1253</v>
      </c>
      <c r="H926" s="279" t="s">
        <v>2477</v>
      </c>
      <c r="I926" s="279" t="s">
        <v>1299</v>
      </c>
      <c r="J926" s="781">
        <v>0.92</v>
      </c>
      <c r="K926" s="782"/>
    </row>
    <row r="927" spans="1:11" ht="33" customHeight="1" x14ac:dyDescent="0.2">
      <c r="A927" s="278" t="s">
        <v>1248</v>
      </c>
      <c r="B927" s="278"/>
      <c r="C927" s="279" t="s">
        <v>2478</v>
      </c>
      <c r="D927" s="278" t="s">
        <v>1250</v>
      </c>
      <c r="E927" s="278" t="s">
        <v>2479</v>
      </c>
      <c r="F927" s="278" t="s">
        <v>1364</v>
      </c>
      <c r="G927" s="280" t="s">
        <v>71</v>
      </c>
      <c r="H927" s="279" t="s">
        <v>1262</v>
      </c>
      <c r="I927" s="279" t="s">
        <v>2480</v>
      </c>
      <c r="J927" s="781">
        <v>5.76</v>
      </c>
      <c r="K927" s="782"/>
    </row>
    <row r="928" spans="1:11" ht="21.95" customHeight="1" x14ac:dyDescent="0.2">
      <c r="A928" s="282" t="s">
        <v>1276</v>
      </c>
      <c r="B928" s="282"/>
      <c r="C928" s="283" t="s">
        <v>1431</v>
      </c>
      <c r="D928" s="282" t="s">
        <v>1250</v>
      </c>
      <c r="E928" s="282" t="s">
        <v>1432</v>
      </c>
      <c r="F928" s="282" t="s">
        <v>1278</v>
      </c>
      <c r="G928" s="284" t="s">
        <v>71</v>
      </c>
      <c r="H928" s="283" t="s">
        <v>1339</v>
      </c>
      <c r="I928" s="283" t="s">
        <v>1434</v>
      </c>
      <c r="J928" s="779">
        <v>0.21</v>
      </c>
      <c r="K928" s="780"/>
    </row>
    <row r="929" spans="1:11" ht="33" customHeight="1" thickBot="1" x14ac:dyDescent="0.25">
      <c r="A929" s="282" t="s">
        <v>1276</v>
      </c>
      <c r="B929" s="282"/>
      <c r="C929" s="283" t="s">
        <v>2481</v>
      </c>
      <c r="D929" s="282" t="s">
        <v>1250</v>
      </c>
      <c r="E929" s="282" t="s">
        <v>2482</v>
      </c>
      <c r="F929" s="282" t="s">
        <v>1278</v>
      </c>
      <c r="G929" s="284" t="s">
        <v>52</v>
      </c>
      <c r="H929" s="283" t="s">
        <v>2483</v>
      </c>
      <c r="I929" s="283" t="s">
        <v>2484</v>
      </c>
      <c r="J929" s="770">
        <v>0.04</v>
      </c>
      <c r="K929" s="771"/>
    </row>
    <row r="930" spans="1:11" ht="0.95" customHeight="1" thickTop="1" x14ac:dyDescent="0.2">
      <c r="A930" s="281"/>
      <c r="B930" s="281"/>
      <c r="C930" s="281"/>
      <c r="D930" s="281"/>
      <c r="E930" s="281"/>
      <c r="F930" s="281"/>
      <c r="G930" s="281"/>
      <c r="H930" s="281"/>
      <c r="I930" s="281"/>
      <c r="J930" s="421"/>
      <c r="K930" s="421"/>
    </row>
    <row r="931" spans="1:11" ht="18" customHeight="1" x14ac:dyDescent="0.2">
      <c r="A931" s="272"/>
      <c r="B931" s="272" t="s">
        <v>54</v>
      </c>
      <c r="C931" s="273" t="s">
        <v>1239</v>
      </c>
      <c r="D931" s="272" t="s">
        <v>1240</v>
      </c>
      <c r="E931" s="272" t="s">
        <v>1241</v>
      </c>
      <c r="F931" s="272" t="s">
        <v>1242</v>
      </c>
      <c r="G931" s="274" t="s">
        <v>60</v>
      </c>
      <c r="H931" s="273" t="s">
        <v>58</v>
      </c>
      <c r="I931" s="273" t="s">
        <v>1243</v>
      </c>
      <c r="J931" s="775" t="s">
        <v>196</v>
      </c>
      <c r="K931" s="776"/>
    </row>
    <row r="932" spans="1:11" ht="44.1" customHeight="1" x14ac:dyDescent="0.2">
      <c r="A932" s="275" t="s">
        <v>1244</v>
      </c>
      <c r="B932" s="275" t="s">
        <v>4179</v>
      </c>
      <c r="C932" s="276" t="s">
        <v>2157</v>
      </c>
      <c r="D932" s="275" t="s">
        <v>1246</v>
      </c>
      <c r="E932" s="275" t="s">
        <v>2158</v>
      </c>
      <c r="F932" s="275" t="s">
        <v>1364</v>
      </c>
      <c r="G932" s="277" t="s">
        <v>71</v>
      </c>
      <c r="H932" s="276">
        <v>1</v>
      </c>
      <c r="I932" s="276" t="s">
        <v>2160</v>
      </c>
      <c r="J932" s="777" t="s">
        <v>2160</v>
      </c>
      <c r="K932" s="778"/>
    </row>
    <row r="933" spans="1:11" ht="21.95" customHeight="1" x14ac:dyDescent="0.2">
      <c r="A933" s="278" t="s">
        <v>1248</v>
      </c>
      <c r="B933" s="278"/>
      <c r="C933" s="279" t="s">
        <v>1706</v>
      </c>
      <c r="D933" s="278" t="s">
        <v>1250</v>
      </c>
      <c r="E933" s="278" t="s">
        <v>1707</v>
      </c>
      <c r="F933" s="278" t="s">
        <v>1252</v>
      </c>
      <c r="G933" s="280" t="s">
        <v>1253</v>
      </c>
      <c r="H933" s="279" t="s">
        <v>2485</v>
      </c>
      <c r="I933" s="279" t="s">
        <v>1708</v>
      </c>
      <c r="J933" s="781">
        <v>0.08</v>
      </c>
      <c r="K933" s="782"/>
    </row>
    <row r="934" spans="1:11" ht="21.95" customHeight="1" x14ac:dyDescent="0.2">
      <c r="A934" s="278" t="s">
        <v>1248</v>
      </c>
      <c r="B934" s="278"/>
      <c r="C934" s="279" t="s">
        <v>1427</v>
      </c>
      <c r="D934" s="278" t="s">
        <v>1250</v>
      </c>
      <c r="E934" s="278" t="s">
        <v>1428</v>
      </c>
      <c r="F934" s="278" t="s">
        <v>1252</v>
      </c>
      <c r="G934" s="280" t="s">
        <v>1253</v>
      </c>
      <c r="H934" s="279" t="s">
        <v>2486</v>
      </c>
      <c r="I934" s="279" t="s">
        <v>1299</v>
      </c>
      <c r="J934" s="781">
        <v>0.62</v>
      </c>
      <c r="K934" s="782"/>
    </row>
    <row r="935" spans="1:11" ht="33" customHeight="1" x14ac:dyDescent="0.2">
      <c r="A935" s="278" t="s">
        <v>1248</v>
      </c>
      <c r="B935" s="278"/>
      <c r="C935" s="279" t="s">
        <v>2487</v>
      </c>
      <c r="D935" s="278" t="s">
        <v>1250</v>
      </c>
      <c r="E935" s="278" t="s">
        <v>2488</v>
      </c>
      <c r="F935" s="278" t="s">
        <v>1364</v>
      </c>
      <c r="G935" s="280" t="s">
        <v>71</v>
      </c>
      <c r="H935" s="279" t="s">
        <v>1262</v>
      </c>
      <c r="I935" s="279" t="s">
        <v>2489</v>
      </c>
      <c r="J935" s="781">
        <v>4.7</v>
      </c>
      <c r="K935" s="782"/>
    </row>
    <row r="936" spans="1:11" ht="21.95" customHeight="1" x14ac:dyDescent="0.2">
      <c r="A936" s="282" t="s">
        <v>1276</v>
      </c>
      <c r="B936" s="282"/>
      <c r="C936" s="283" t="s">
        <v>1431</v>
      </c>
      <c r="D936" s="282" t="s">
        <v>1250</v>
      </c>
      <c r="E936" s="282" t="s">
        <v>1432</v>
      </c>
      <c r="F936" s="282" t="s">
        <v>1278</v>
      </c>
      <c r="G936" s="284" t="s">
        <v>71</v>
      </c>
      <c r="H936" s="283" t="s">
        <v>1339</v>
      </c>
      <c r="I936" s="283" t="s">
        <v>1434</v>
      </c>
      <c r="J936" s="779">
        <v>0.21</v>
      </c>
      <c r="K936" s="780"/>
    </row>
    <row r="937" spans="1:11" ht="33" customHeight="1" thickBot="1" x14ac:dyDescent="0.25">
      <c r="A937" s="282" t="s">
        <v>1276</v>
      </c>
      <c r="B937" s="282"/>
      <c r="C937" s="283" t="s">
        <v>2481</v>
      </c>
      <c r="D937" s="282" t="s">
        <v>1250</v>
      </c>
      <c r="E937" s="282" t="s">
        <v>2482</v>
      </c>
      <c r="F937" s="282" t="s">
        <v>1278</v>
      </c>
      <c r="G937" s="284" t="s">
        <v>52</v>
      </c>
      <c r="H937" s="283" t="s">
        <v>2490</v>
      </c>
      <c r="I937" s="283" t="s">
        <v>2484</v>
      </c>
      <c r="J937" s="770">
        <v>0</v>
      </c>
      <c r="K937" s="771"/>
    </row>
    <row r="938" spans="1:11" ht="0.95" customHeight="1" thickTop="1" x14ac:dyDescent="0.2">
      <c r="A938" s="281"/>
      <c r="B938" s="281"/>
      <c r="C938" s="281"/>
      <c r="D938" s="281"/>
      <c r="E938" s="281"/>
      <c r="F938" s="281"/>
      <c r="G938" s="281"/>
      <c r="H938" s="281"/>
      <c r="I938" s="281"/>
      <c r="J938" s="421"/>
      <c r="K938" s="421"/>
    </row>
    <row r="939" spans="1:11" ht="18" customHeight="1" x14ac:dyDescent="0.2">
      <c r="A939" s="272"/>
      <c r="B939" s="272" t="s">
        <v>54</v>
      </c>
      <c r="C939" s="273" t="s">
        <v>1239</v>
      </c>
      <c r="D939" s="272" t="s">
        <v>1240</v>
      </c>
      <c r="E939" s="272" t="s">
        <v>1241</v>
      </c>
      <c r="F939" s="272" t="s">
        <v>1242</v>
      </c>
      <c r="G939" s="274" t="s">
        <v>60</v>
      </c>
      <c r="H939" s="273" t="s">
        <v>58</v>
      </c>
      <c r="I939" s="273" t="s">
        <v>1243</v>
      </c>
      <c r="J939" s="775" t="s">
        <v>196</v>
      </c>
      <c r="K939" s="776"/>
    </row>
    <row r="940" spans="1:11" ht="44.1" customHeight="1" x14ac:dyDescent="0.2">
      <c r="A940" s="275" t="s">
        <v>1244</v>
      </c>
      <c r="B940" s="275" t="s">
        <v>4180</v>
      </c>
      <c r="C940" s="276" t="s">
        <v>4181</v>
      </c>
      <c r="D940" s="275" t="s">
        <v>1246</v>
      </c>
      <c r="E940" s="275" t="s">
        <v>3225</v>
      </c>
      <c r="F940" s="275" t="s">
        <v>1364</v>
      </c>
      <c r="G940" s="277" t="s">
        <v>71</v>
      </c>
      <c r="H940" s="276">
        <v>1</v>
      </c>
      <c r="I940" s="276" t="s">
        <v>4182</v>
      </c>
      <c r="J940" s="777" t="s">
        <v>4182</v>
      </c>
      <c r="K940" s="778"/>
    </row>
    <row r="941" spans="1:11" ht="21.95" customHeight="1" x14ac:dyDescent="0.2">
      <c r="A941" s="278" t="s">
        <v>1248</v>
      </c>
      <c r="B941" s="278"/>
      <c r="C941" s="279" t="s">
        <v>1706</v>
      </c>
      <c r="D941" s="278" t="s">
        <v>1250</v>
      </c>
      <c r="E941" s="278" t="s">
        <v>1707</v>
      </c>
      <c r="F941" s="278" t="s">
        <v>1252</v>
      </c>
      <c r="G941" s="280" t="s">
        <v>1253</v>
      </c>
      <c r="H941" s="279" t="s">
        <v>4183</v>
      </c>
      <c r="I941" s="279" t="s">
        <v>1708</v>
      </c>
      <c r="J941" s="781">
        <v>0.03</v>
      </c>
      <c r="K941" s="782"/>
    </row>
    <row r="942" spans="1:11" ht="21.95" customHeight="1" x14ac:dyDescent="0.2">
      <c r="A942" s="278" t="s">
        <v>1248</v>
      </c>
      <c r="B942" s="278"/>
      <c r="C942" s="279" t="s">
        <v>1427</v>
      </c>
      <c r="D942" s="278" t="s">
        <v>1250</v>
      </c>
      <c r="E942" s="278" t="s">
        <v>1428</v>
      </c>
      <c r="F942" s="278" t="s">
        <v>1252</v>
      </c>
      <c r="G942" s="280" t="s">
        <v>1253</v>
      </c>
      <c r="H942" s="279" t="s">
        <v>4184</v>
      </c>
      <c r="I942" s="279" t="s">
        <v>1299</v>
      </c>
      <c r="J942" s="781">
        <v>0.24</v>
      </c>
      <c r="K942" s="782"/>
    </row>
    <row r="943" spans="1:11" ht="33" customHeight="1" x14ac:dyDescent="0.2">
      <c r="A943" s="278" t="s">
        <v>1248</v>
      </c>
      <c r="B943" s="278"/>
      <c r="C943" s="279" t="s">
        <v>4185</v>
      </c>
      <c r="D943" s="278" t="s">
        <v>1250</v>
      </c>
      <c r="E943" s="278" t="s">
        <v>4186</v>
      </c>
      <c r="F943" s="278" t="s">
        <v>1364</v>
      </c>
      <c r="G943" s="280" t="s">
        <v>71</v>
      </c>
      <c r="H943" s="279" t="s">
        <v>1262</v>
      </c>
      <c r="I943" s="279" t="s">
        <v>1602</v>
      </c>
      <c r="J943" s="781">
        <v>5</v>
      </c>
      <c r="K943" s="782"/>
    </row>
    <row r="944" spans="1:11" ht="21.95" customHeight="1" thickBot="1" x14ac:dyDescent="0.25">
      <c r="A944" s="282" t="s">
        <v>1276</v>
      </c>
      <c r="B944" s="282"/>
      <c r="C944" s="283" t="s">
        <v>1431</v>
      </c>
      <c r="D944" s="282" t="s">
        <v>1250</v>
      </c>
      <c r="E944" s="282" t="s">
        <v>1432</v>
      </c>
      <c r="F944" s="282" t="s">
        <v>1278</v>
      </c>
      <c r="G944" s="284" t="s">
        <v>71</v>
      </c>
      <c r="H944" s="283" t="s">
        <v>1339</v>
      </c>
      <c r="I944" s="283" t="s">
        <v>1434</v>
      </c>
      <c r="J944" s="770">
        <v>0.21</v>
      </c>
      <c r="K944" s="771"/>
    </row>
    <row r="945" spans="1:11" ht="0.95" customHeight="1" thickTop="1" x14ac:dyDescent="0.2">
      <c r="A945" s="281"/>
      <c r="B945" s="281"/>
      <c r="C945" s="281"/>
      <c r="D945" s="281"/>
      <c r="E945" s="281"/>
      <c r="F945" s="281"/>
      <c r="G945" s="281"/>
      <c r="H945" s="281"/>
      <c r="I945" s="281"/>
      <c r="J945" s="421"/>
      <c r="K945" s="421"/>
    </row>
    <row r="946" spans="1:11" ht="18" customHeight="1" x14ac:dyDescent="0.2">
      <c r="A946" s="272"/>
      <c r="B946" s="272" t="s">
        <v>54</v>
      </c>
      <c r="C946" s="273" t="s">
        <v>1239</v>
      </c>
      <c r="D946" s="272" t="s">
        <v>1240</v>
      </c>
      <c r="E946" s="272" t="s">
        <v>1241</v>
      </c>
      <c r="F946" s="272" t="s">
        <v>1242</v>
      </c>
      <c r="G946" s="274" t="s">
        <v>60</v>
      </c>
      <c r="H946" s="273" t="s">
        <v>58</v>
      </c>
      <c r="I946" s="273" t="s">
        <v>1243</v>
      </c>
      <c r="J946" s="775" t="s">
        <v>196</v>
      </c>
      <c r="K946" s="776"/>
    </row>
    <row r="947" spans="1:11" ht="33" customHeight="1" x14ac:dyDescent="0.2">
      <c r="A947" s="275" t="s">
        <v>1244</v>
      </c>
      <c r="B947" s="275" t="s">
        <v>4187</v>
      </c>
      <c r="C947" s="276" t="s">
        <v>1873</v>
      </c>
      <c r="D947" s="275" t="s">
        <v>1246</v>
      </c>
      <c r="E947" s="275" t="s">
        <v>578</v>
      </c>
      <c r="F947" s="275" t="s">
        <v>1874</v>
      </c>
      <c r="G947" s="277" t="s">
        <v>153</v>
      </c>
      <c r="H947" s="276">
        <v>1</v>
      </c>
      <c r="I947" s="276" t="s">
        <v>1875</v>
      </c>
      <c r="J947" s="777" t="s">
        <v>1875</v>
      </c>
      <c r="K947" s="778"/>
    </row>
    <row r="948" spans="1:11" ht="21.95" customHeight="1" x14ac:dyDescent="0.2">
      <c r="A948" s="278" t="s">
        <v>1248</v>
      </c>
      <c r="B948" s="278"/>
      <c r="C948" s="279" t="s">
        <v>1876</v>
      </c>
      <c r="D948" s="278" t="s">
        <v>1250</v>
      </c>
      <c r="E948" s="278" t="s">
        <v>251</v>
      </c>
      <c r="F948" s="278" t="s">
        <v>1364</v>
      </c>
      <c r="G948" s="280" t="s">
        <v>153</v>
      </c>
      <c r="H948" s="279" t="s">
        <v>1262</v>
      </c>
      <c r="I948" s="279" t="s">
        <v>1877</v>
      </c>
      <c r="J948" s="781">
        <v>23.45</v>
      </c>
      <c r="K948" s="782"/>
    </row>
    <row r="949" spans="1:11" ht="33" customHeight="1" thickBot="1" x14ac:dyDescent="0.25">
      <c r="A949" s="282" t="s">
        <v>1276</v>
      </c>
      <c r="B949" s="282"/>
      <c r="C949" s="283" t="s">
        <v>1878</v>
      </c>
      <c r="D949" s="282" t="s">
        <v>1250</v>
      </c>
      <c r="E949" s="282" t="s">
        <v>1879</v>
      </c>
      <c r="F949" s="282" t="s">
        <v>1278</v>
      </c>
      <c r="G949" s="284" t="s">
        <v>153</v>
      </c>
      <c r="H949" s="283" t="s">
        <v>1262</v>
      </c>
      <c r="I949" s="283" t="s">
        <v>1880</v>
      </c>
      <c r="J949" s="770">
        <v>364.73</v>
      </c>
      <c r="K949" s="771"/>
    </row>
    <row r="950" spans="1:11" ht="0.95" customHeight="1" thickTop="1" x14ac:dyDescent="0.2">
      <c r="A950" s="281"/>
      <c r="B950" s="281"/>
      <c r="C950" s="281"/>
      <c r="D950" s="281"/>
      <c r="E950" s="281"/>
      <c r="F950" s="281"/>
      <c r="G950" s="281"/>
      <c r="H950" s="281"/>
      <c r="I950" s="281"/>
      <c r="J950" s="421"/>
      <c r="K950" s="421"/>
    </row>
    <row r="951" spans="1:11" ht="18" customHeight="1" x14ac:dyDescent="0.2">
      <c r="A951" s="272"/>
      <c r="B951" s="272" t="s">
        <v>54</v>
      </c>
      <c r="C951" s="273" t="s">
        <v>1239</v>
      </c>
      <c r="D951" s="272" t="s">
        <v>1240</v>
      </c>
      <c r="E951" s="272" t="s">
        <v>1241</v>
      </c>
      <c r="F951" s="272" t="s">
        <v>1242</v>
      </c>
      <c r="G951" s="274" t="s">
        <v>60</v>
      </c>
      <c r="H951" s="273" t="s">
        <v>58</v>
      </c>
      <c r="I951" s="273" t="s">
        <v>1243</v>
      </c>
      <c r="J951" s="775" t="s">
        <v>196</v>
      </c>
      <c r="K951" s="776"/>
    </row>
    <row r="952" spans="1:11" ht="33" customHeight="1" x14ac:dyDescent="0.2">
      <c r="A952" s="275" t="s">
        <v>1244</v>
      </c>
      <c r="B952" s="275" t="s">
        <v>4188</v>
      </c>
      <c r="C952" s="276" t="s">
        <v>1873</v>
      </c>
      <c r="D952" s="275" t="s">
        <v>1246</v>
      </c>
      <c r="E952" s="275" t="s">
        <v>578</v>
      </c>
      <c r="F952" s="275" t="s">
        <v>1874</v>
      </c>
      <c r="G952" s="277" t="s">
        <v>153</v>
      </c>
      <c r="H952" s="276">
        <v>1</v>
      </c>
      <c r="I952" s="276" t="s">
        <v>1875</v>
      </c>
      <c r="J952" s="777" t="s">
        <v>1875</v>
      </c>
      <c r="K952" s="778"/>
    </row>
    <row r="953" spans="1:11" ht="21.95" customHeight="1" x14ac:dyDescent="0.2">
      <c r="A953" s="278" t="s">
        <v>1248</v>
      </c>
      <c r="B953" s="278"/>
      <c r="C953" s="279" t="s">
        <v>1876</v>
      </c>
      <c r="D953" s="278" t="s">
        <v>1250</v>
      </c>
      <c r="E953" s="278" t="s">
        <v>251</v>
      </c>
      <c r="F953" s="278" t="s">
        <v>1364</v>
      </c>
      <c r="G953" s="280" t="s">
        <v>153</v>
      </c>
      <c r="H953" s="279" t="s">
        <v>1262</v>
      </c>
      <c r="I953" s="279" t="s">
        <v>1877</v>
      </c>
      <c r="J953" s="781">
        <v>23.45</v>
      </c>
      <c r="K953" s="782"/>
    </row>
    <row r="954" spans="1:11" ht="33" customHeight="1" thickBot="1" x14ac:dyDescent="0.25">
      <c r="A954" s="282" t="s">
        <v>1276</v>
      </c>
      <c r="B954" s="282"/>
      <c r="C954" s="283" t="s">
        <v>1878</v>
      </c>
      <c r="D954" s="282" t="s">
        <v>1250</v>
      </c>
      <c r="E954" s="282" t="s">
        <v>1879</v>
      </c>
      <c r="F954" s="282" t="s">
        <v>1278</v>
      </c>
      <c r="G954" s="284" t="s">
        <v>153</v>
      </c>
      <c r="H954" s="283" t="s">
        <v>1262</v>
      </c>
      <c r="I954" s="283" t="s">
        <v>1880</v>
      </c>
      <c r="J954" s="770">
        <v>364.73</v>
      </c>
      <c r="K954" s="771"/>
    </row>
    <row r="955" spans="1:11" ht="0.95" customHeight="1" thickTop="1" x14ac:dyDescent="0.2">
      <c r="A955" s="281"/>
      <c r="B955" s="281"/>
      <c r="C955" s="281"/>
      <c r="D955" s="281"/>
      <c r="E955" s="281"/>
      <c r="F955" s="281"/>
      <c r="G955" s="281"/>
      <c r="H955" s="281"/>
      <c r="I955" s="281"/>
      <c r="J955" s="421"/>
      <c r="K955" s="421"/>
    </row>
    <row r="956" spans="1:11" ht="18" customHeight="1" x14ac:dyDescent="0.2">
      <c r="A956" s="272"/>
      <c r="B956" s="272" t="s">
        <v>54</v>
      </c>
      <c r="C956" s="273" t="s">
        <v>1239</v>
      </c>
      <c r="D956" s="272" t="s">
        <v>1240</v>
      </c>
      <c r="E956" s="272" t="s">
        <v>1241</v>
      </c>
      <c r="F956" s="272" t="s">
        <v>1242</v>
      </c>
      <c r="G956" s="274" t="s">
        <v>60</v>
      </c>
      <c r="H956" s="273" t="s">
        <v>58</v>
      </c>
      <c r="I956" s="273" t="s">
        <v>1243</v>
      </c>
      <c r="J956" s="775" t="s">
        <v>196</v>
      </c>
      <c r="K956" s="776"/>
    </row>
    <row r="957" spans="1:11" ht="33" customHeight="1" x14ac:dyDescent="0.2">
      <c r="A957" s="275" t="s">
        <v>1244</v>
      </c>
      <c r="B957" s="275" t="s">
        <v>4189</v>
      </c>
      <c r="C957" s="276" t="s">
        <v>1873</v>
      </c>
      <c r="D957" s="275" t="s">
        <v>1246</v>
      </c>
      <c r="E957" s="275" t="s">
        <v>578</v>
      </c>
      <c r="F957" s="275" t="s">
        <v>1874</v>
      </c>
      <c r="G957" s="277" t="s">
        <v>153</v>
      </c>
      <c r="H957" s="276">
        <v>1</v>
      </c>
      <c r="I957" s="276" t="s">
        <v>1875</v>
      </c>
      <c r="J957" s="777" t="s">
        <v>1875</v>
      </c>
      <c r="K957" s="778"/>
    </row>
    <row r="958" spans="1:11" ht="21.95" customHeight="1" x14ac:dyDescent="0.2">
      <c r="A958" s="278" t="s">
        <v>1248</v>
      </c>
      <c r="B958" s="278"/>
      <c r="C958" s="279" t="s">
        <v>1876</v>
      </c>
      <c r="D958" s="278" t="s">
        <v>1250</v>
      </c>
      <c r="E958" s="278" t="s">
        <v>251</v>
      </c>
      <c r="F958" s="278" t="s">
        <v>1364</v>
      </c>
      <c r="G958" s="280" t="s">
        <v>153</v>
      </c>
      <c r="H958" s="279" t="s">
        <v>1262</v>
      </c>
      <c r="I958" s="279" t="s">
        <v>1877</v>
      </c>
      <c r="J958" s="781">
        <v>23.45</v>
      </c>
      <c r="K958" s="782"/>
    </row>
    <row r="959" spans="1:11" ht="33" customHeight="1" thickBot="1" x14ac:dyDescent="0.25">
      <c r="A959" s="282" t="s">
        <v>1276</v>
      </c>
      <c r="B959" s="282"/>
      <c r="C959" s="283" t="s">
        <v>1878</v>
      </c>
      <c r="D959" s="282" t="s">
        <v>1250</v>
      </c>
      <c r="E959" s="282" t="s">
        <v>1879</v>
      </c>
      <c r="F959" s="282" t="s">
        <v>1278</v>
      </c>
      <c r="G959" s="284" t="s">
        <v>153</v>
      </c>
      <c r="H959" s="283" t="s">
        <v>1262</v>
      </c>
      <c r="I959" s="283" t="s">
        <v>1880</v>
      </c>
      <c r="J959" s="770">
        <v>364.73</v>
      </c>
      <c r="K959" s="771"/>
    </row>
    <row r="960" spans="1:11" ht="0.95" customHeight="1" thickTop="1" x14ac:dyDescent="0.2">
      <c r="A960" s="281"/>
      <c r="B960" s="281"/>
      <c r="C960" s="281"/>
      <c r="D960" s="281"/>
      <c r="E960" s="281"/>
      <c r="F960" s="281"/>
      <c r="G960" s="281"/>
      <c r="H960" s="281"/>
      <c r="I960" s="281"/>
      <c r="J960" s="421"/>
      <c r="K960" s="421"/>
    </row>
    <row r="961" spans="1:11" ht="18" customHeight="1" x14ac:dyDescent="0.2">
      <c r="A961" s="272"/>
      <c r="B961" s="272" t="s">
        <v>54</v>
      </c>
      <c r="C961" s="273" t="s">
        <v>1239</v>
      </c>
      <c r="D961" s="272" t="s">
        <v>1240</v>
      </c>
      <c r="E961" s="272" t="s">
        <v>1241</v>
      </c>
      <c r="F961" s="272" t="s">
        <v>1242</v>
      </c>
      <c r="G961" s="274" t="s">
        <v>60</v>
      </c>
      <c r="H961" s="273" t="s">
        <v>58</v>
      </c>
      <c r="I961" s="273" t="s">
        <v>1243</v>
      </c>
      <c r="J961" s="775" t="s">
        <v>196</v>
      </c>
      <c r="K961" s="776"/>
    </row>
    <row r="962" spans="1:11" ht="33" customHeight="1" x14ac:dyDescent="0.2">
      <c r="A962" s="275" t="s">
        <v>1244</v>
      </c>
      <c r="B962" s="275" t="s">
        <v>4190</v>
      </c>
      <c r="C962" s="276" t="s">
        <v>4138</v>
      </c>
      <c r="D962" s="275" t="s">
        <v>1246</v>
      </c>
      <c r="E962" s="275" t="s">
        <v>3075</v>
      </c>
      <c r="F962" s="275" t="s">
        <v>1364</v>
      </c>
      <c r="G962" s="277" t="s">
        <v>77</v>
      </c>
      <c r="H962" s="276">
        <v>1</v>
      </c>
      <c r="I962" s="276" t="s">
        <v>4139</v>
      </c>
      <c r="J962" s="777" t="s">
        <v>4139</v>
      </c>
      <c r="K962" s="778"/>
    </row>
    <row r="963" spans="1:11" ht="21.95" customHeight="1" x14ac:dyDescent="0.2">
      <c r="A963" s="278" t="s">
        <v>1248</v>
      </c>
      <c r="B963" s="278"/>
      <c r="C963" s="279" t="s">
        <v>1297</v>
      </c>
      <c r="D963" s="278" t="s">
        <v>1250</v>
      </c>
      <c r="E963" s="278" t="s">
        <v>1298</v>
      </c>
      <c r="F963" s="278" t="s">
        <v>1252</v>
      </c>
      <c r="G963" s="280" t="s">
        <v>1253</v>
      </c>
      <c r="H963" s="279" t="s">
        <v>1888</v>
      </c>
      <c r="I963" s="279" t="s">
        <v>1299</v>
      </c>
      <c r="J963" s="781">
        <v>3.23</v>
      </c>
      <c r="K963" s="782"/>
    </row>
    <row r="964" spans="1:11" ht="21.95" customHeight="1" x14ac:dyDescent="0.2">
      <c r="A964" s="278" t="s">
        <v>1248</v>
      </c>
      <c r="B964" s="278"/>
      <c r="C964" s="279" t="s">
        <v>1269</v>
      </c>
      <c r="D964" s="278" t="s">
        <v>1250</v>
      </c>
      <c r="E964" s="278" t="s">
        <v>1270</v>
      </c>
      <c r="F964" s="278" t="s">
        <v>1252</v>
      </c>
      <c r="G964" s="280" t="s">
        <v>1253</v>
      </c>
      <c r="H964" s="279" t="s">
        <v>1486</v>
      </c>
      <c r="I964" s="279" t="s">
        <v>1272</v>
      </c>
      <c r="J964" s="781">
        <v>5.98</v>
      </c>
      <c r="K964" s="782"/>
    </row>
    <row r="965" spans="1:11" ht="21.95" customHeight="1" x14ac:dyDescent="0.2">
      <c r="A965" s="278" t="s">
        <v>1248</v>
      </c>
      <c r="B965" s="278"/>
      <c r="C965" s="279" t="s">
        <v>1273</v>
      </c>
      <c r="D965" s="278" t="s">
        <v>1250</v>
      </c>
      <c r="E965" s="278" t="s">
        <v>1274</v>
      </c>
      <c r="F965" s="278" t="s">
        <v>1252</v>
      </c>
      <c r="G965" s="280" t="s">
        <v>1253</v>
      </c>
      <c r="H965" s="279" t="s">
        <v>1722</v>
      </c>
      <c r="I965" s="279" t="s">
        <v>1275</v>
      </c>
      <c r="J965" s="781">
        <v>11.8</v>
      </c>
      <c r="K965" s="782"/>
    </row>
    <row r="966" spans="1:11" ht="21.95" customHeight="1" x14ac:dyDescent="0.2">
      <c r="A966" s="278" t="s">
        <v>1248</v>
      </c>
      <c r="B966" s="278"/>
      <c r="C966" s="279" t="s">
        <v>1876</v>
      </c>
      <c r="D966" s="278" t="s">
        <v>1250</v>
      </c>
      <c r="E966" s="278" t="s">
        <v>251</v>
      </c>
      <c r="F966" s="278" t="s">
        <v>1364</v>
      </c>
      <c r="G966" s="280" t="s">
        <v>153</v>
      </c>
      <c r="H966" s="279" t="s">
        <v>1430</v>
      </c>
      <c r="I966" s="279" t="s">
        <v>1877</v>
      </c>
      <c r="J966" s="781">
        <v>1.4</v>
      </c>
      <c r="K966" s="782"/>
    </row>
    <row r="967" spans="1:11" ht="33" customHeight="1" x14ac:dyDescent="0.2">
      <c r="A967" s="278" t="s">
        <v>1248</v>
      </c>
      <c r="B967" s="278"/>
      <c r="C967" s="279" t="s">
        <v>1422</v>
      </c>
      <c r="D967" s="278" t="s">
        <v>1246</v>
      </c>
      <c r="E967" s="278" t="s">
        <v>252</v>
      </c>
      <c r="F967" s="278" t="s">
        <v>1364</v>
      </c>
      <c r="G967" s="280" t="s">
        <v>153</v>
      </c>
      <c r="H967" s="279" t="s">
        <v>1430</v>
      </c>
      <c r="I967" s="279" t="s">
        <v>1423</v>
      </c>
      <c r="J967" s="781">
        <v>18.75</v>
      </c>
      <c r="K967" s="782"/>
    </row>
    <row r="968" spans="1:11" ht="21.95" customHeight="1" x14ac:dyDescent="0.2">
      <c r="A968" s="282" t="s">
        <v>1276</v>
      </c>
      <c r="B968" s="282"/>
      <c r="C968" s="283" t="s">
        <v>4140</v>
      </c>
      <c r="D968" s="282" t="s">
        <v>1246</v>
      </c>
      <c r="E968" s="282" t="s">
        <v>3812</v>
      </c>
      <c r="F968" s="282" t="s">
        <v>1278</v>
      </c>
      <c r="G968" s="284" t="s">
        <v>77</v>
      </c>
      <c r="H968" s="283" t="s">
        <v>1262</v>
      </c>
      <c r="I968" s="283" t="s">
        <v>2198</v>
      </c>
      <c r="J968" s="779">
        <v>41.95</v>
      </c>
      <c r="K968" s="780"/>
    </row>
    <row r="969" spans="1:11" ht="21.95" customHeight="1" x14ac:dyDescent="0.2">
      <c r="A969" s="282" t="s">
        <v>1276</v>
      </c>
      <c r="B969" s="282"/>
      <c r="C969" s="283" t="s">
        <v>1583</v>
      </c>
      <c r="D969" s="282" t="s">
        <v>1250</v>
      </c>
      <c r="E969" s="282" t="s">
        <v>1584</v>
      </c>
      <c r="F969" s="282" t="s">
        <v>1278</v>
      </c>
      <c r="G969" s="284" t="s">
        <v>75</v>
      </c>
      <c r="H969" s="283" t="s">
        <v>1488</v>
      </c>
      <c r="I969" s="283" t="s">
        <v>1586</v>
      </c>
      <c r="J969" s="779">
        <v>4.75</v>
      </c>
      <c r="K969" s="780"/>
    </row>
    <row r="970" spans="1:11" ht="21.95" customHeight="1" x14ac:dyDescent="0.2">
      <c r="A970" s="282" t="s">
        <v>1276</v>
      </c>
      <c r="B970" s="282"/>
      <c r="C970" s="283" t="s">
        <v>4141</v>
      </c>
      <c r="D970" s="282" t="s">
        <v>1250</v>
      </c>
      <c r="E970" s="282" t="s">
        <v>4142</v>
      </c>
      <c r="F970" s="282" t="s">
        <v>1278</v>
      </c>
      <c r="G970" s="284" t="s">
        <v>71</v>
      </c>
      <c r="H970" s="283" t="s">
        <v>1443</v>
      </c>
      <c r="I970" s="283" t="s">
        <v>2501</v>
      </c>
      <c r="J970" s="779">
        <v>0.16</v>
      </c>
      <c r="K970" s="780"/>
    </row>
    <row r="971" spans="1:11" ht="21.95" customHeight="1" thickBot="1" x14ac:dyDescent="0.25">
      <c r="A971" s="282" t="s">
        <v>1276</v>
      </c>
      <c r="B971" s="282"/>
      <c r="C971" s="283" t="s">
        <v>1314</v>
      </c>
      <c r="D971" s="282" t="s">
        <v>1250</v>
      </c>
      <c r="E971" s="282" t="s">
        <v>1315</v>
      </c>
      <c r="F971" s="282" t="s">
        <v>1278</v>
      </c>
      <c r="G971" s="284" t="s">
        <v>75</v>
      </c>
      <c r="H971" s="283" t="s">
        <v>1356</v>
      </c>
      <c r="I971" s="283" t="s">
        <v>1316</v>
      </c>
      <c r="J971" s="770">
        <v>1.77</v>
      </c>
      <c r="K971" s="771"/>
    </row>
    <row r="972" spans="1:11" ht="0.95" customHeight="1" thickTop="1" x14ac:dyDescent="0.2">
      <c r="A972" s="281"/>
      <c r="B972" s="281"/>
      <c r="C972" s="281"/>
      <c r="D972" s="281"/>
      <c r="E972" s="281"/>
      <c r="F972" s="281"/>
      <c r="G972" s="281"/>
      <c r="H972" s="281"/>
      <c r="I972" s="281"/>
      <c r="J972" s="421"/>
      <c r="K972" s="421"/>
    </row>
    <row r="973" spans="1:11" ht="18" customHeight="1" x14ac:dyDescent="0.2">
      <c r="A973" s="272"/>
      <c r="B973" s="272" t="s">
        <v>54</v>
      </c>
      <c r="C973" s="273" t="s">
        <v>1239</v>
      </c>
      <c r="D973" s="272" t="s">
        <v>1240</v>
      </c>
      <c r="E973" s="272" t="s">
        <v>1241</v>
      </c>
      <c r="F973" s="272" t="s">
        <v>1242</v>
      </c>
      <c r="G973" s="274" t="s">
        <v>60</v>
      </c>
      <c r="H973" s="273" t="s">
        <v>58</v>
      </c>
      <c r="I973" s="273" t="s">
        <v>1243</v>
      </c>
      <c r="J973" s="775" t="s">
        <v>196</v>
      </c>
      <c r="K973" s="776"/>
    </row>
    <row r="974" spans="1:11" ht="21.95" customHeight="1" x14ac:dyDescent="0.2">
      <c r="A974" s="275" t="s">
        <v>1244</v>
      </c>
      <c r="B974" s="275" t="s">
        <v>4191</v>
      </c>
      <c r="C974" s="276" t="s">
        <v>1439</v>
      </c>
      <c r="D974" s="275" t="s">
        <v>1246</v>
      </c>
      <c r="E974" s="275" t="s">
        <v>264</v>
      </c>
      <c r="F974" s="275" t="s">
        <v>1364</v>
      </c>
      <c r="G974" s="277" t="s">
        <v>71</v>
      </c>
      <c r="H974" s="276">
        <v>1</v>
      </c>
      <c r="I974" s="276" t="s">
        <v>1440</v>
      </c>
      <c r="J974" s="777" t="s">
        <v>1440</v>
      </c>
      <c r="K974" s="778"/>
    </row>
    <row r="975" spans="1:11" ht="21.95" customHeight="1" x14ac:dyDescent="0.2">
      <c r="A975" s="278" t="s">
        <v>1248</v>
      </c>
      <c r="B975" s="278"/>
      <c r="C975" s="279" t="s">
        <v>1441</v>
      </c>
      <c r="D975" s="278" t="s">
        <v>1250</v>
      </c>
      <c r="E975" s="278" t="s">
        <v>1442</v>
      </c>
      <c r="F975" s="278" t="s">
        <v>1252</v>
      </c>
      <c r="G975" s="280" t="s">
        <v>1253</v>
      </c>
      <c r="H975" s="279" t="s">
        <v>1443</v>
      </c>
      <c r="I975" s="279" t="s">
        <v>1444</v>
      </c>
      <c r="J975" s="781">
        <v>0.32</v>
      </c>
      <c r="K975" s="782"/>
    </row>
    <row r="976" spans="1:11" ht="21.95" customHeight="1" x14ac:dyDescent="0.2">
      <c r="A976" s="278" t="s">
        <v>1248</v>
      </c>
      <c r="B976" s="278"/>
      <c r="C976" s="279" t="s">
        <v>1445</v>
      </c>
      <c r="D976" s="278" t="s">
        <v>1250</v>
      </c>
      <c r="E976" s="278" t="s">
        <v>1446</v>
      </c>
      <c r="F976" s="278" t="s">
        <v>1252</v>
      </c>
      <c r="G976" s="280" t="s">
        <v>1253</v>
      </c>
      <c r="H976" s="279" t="s">
        <v>1443</v>
      </c>
      <c r="I976" s="279" t="s">
        <v>1447</v>
      </c>
      <c r="J976" s="781">
        <v>0.26</v>
      </c>
      <c r="K976" s="782"/>
    </row>
    <row r="977" spans="1:11" ht="21.95" customHeight="1" x14ac:dyDescent="0.2">
      <c r="A977" s="278" t="s">
        <v>1248</v>
      </c>
      <c r="B977" s="278"/>
      <c r="C977" s="279" t="s">
        <v>1448</v>
      </c>
      <c r="D977" s="278" t="s">
        <v>1250</v>
      </c>
      <c r="E977" s="278" t="s">
        <v>1449</v>
      </c>
      <c r="F977" s="278" t="s">
        <v>1252</v>
      </c>
      <c r="G977" s="280" t="s">
        <v>1253</v>
      </c>
      <c r="H977" s="279" t="s">
        <v>1450</v>
      </c>
      <c r="I977" s="279" t="s">
        <v>1451</v>
      </c>
      <c r="J977" s="781">
        <v>0.05</v>
      </c>
      <c r="K977" s="782"/>
    </row>
    <row r="978" spans="1:11" ht="21.95" customHeight="1" x14ac:dyDescent="0.2">
      <c r="A978" s="278" t="s">
        <v>1248</v>
      </c>
      <c r="B978" s="278"/>
      <c r="C978" s="279" t="s">
        <v>1273</v>
      </c>
      <c r="D978" s="278" t="s">
        <v>1250</v>
      </c>
      <c r="E978" s="278" t="s">
        <v>1274</v>
      </c>
      <c r="F978" s="278" t="s">
        <v>1252</v>
      </c>
      <c r="G978" s="280" t="s">
        <v>1253</v>
      </c>
      <c r="H978" s="279" t="s">
        <v>1450</v>
      </c>
      <c r="I978" s="279" t="s">
        <v>1275</v>
      </c>
      <c r="J978" s="781">
        <v>0.04</v>
      </c>
      <c r="K978" s="782"/>
    </row>
    <row r="979" spans="1:11" ht="21.95" customHeight="1" x14ac:dyDescent="0.2">
      <c r="A979" s="278" t="s">
        <v>1248</v>
      </c>
      <c r="B979" s="278"/>
      <c r="C979" s="279" t="s">
        <v>1452</v>
      </c>
      <c r="D979" s="278" t="s">
        <v>1250</v>
      </c>
      <c r="E979" s="278" t="s">
        <v>1453</v>
      </c>
      <c r="F979" s="278" t="s">
        <v>1252</v>
      </c>
      <c r="G979" s="280" t="s">
        <v>1253</v>
      </c>
      <c r="H979" s="279" t="s">
        <v>1347</v>
      </c>
      <c r="I979" s="279" t="s">
        <v>1454</v>
      </c>
      <c r="J979" s="781">
        <v>0.35</v>
      </c>
      <c r="K979" s="782"/>
    </row>
    <row r="980" spans="1:11" ht="21.95" customHeight="1" x14ac:dyDescent="0.2">
      <c r="A980" s="278" t="s">
        <v>1248</v>
      </c>
      <c r="B980" s="278"/>
      <c r="C980" s="279" t="s">
        <v>1354</v>
      </c>
      <c r="D980" s="278" t="s">
        <v>1250</v>
      </c>
      <c r="E980" s="278" t="s">
        <v>1355</v>
      </c>
      <c r="F980" s="278" t="s">
        <v>1252</v>
      </c>
      <c r="G980" s="280" t="s">
        <v>1253</v>
      </c>
      <c r="H980" s="279" t="s">
        <v>1347</v>
      </c>
      <c r="I980" s="279" t="s">
        <v>1299</v>
      </c>
      <c r="J980" s="781">
        <v>0.68</v>
      </c>
      <c r="K980" s="782"/>
    </row>
    <row r="981" spans="1:11" ht="21.95" customHeight="1" x14ac:dyDescent="0.2">
      <c r="A981" s="282" t="s">
        <v>1276</v>
      </c>
      <c r="B981" s="282"/>
      <c r="C981" s="283" t="s">
        <v>1455</v>
      </c>
      <c r="D981" s="282" t="s">
        <v>1246</v>
      </c>
      <c r="E981" s="282" t="s">
        <v>733</v>
      </c>
      <c r="F981" s="282" t="s">
        <v>1278</v>
      </c>
      <c r="G981" s="284" t="s">
        <v>71</v>
      </c>
      <c r="H981" s="283" t="s">
        <v>1456</v>
      </c>
      <c r="I981" s="283" t="s">
        <v>1457</v>
      </c>
      <c r="J981" s="779">
        <v>2.56</v>
      </c>
      <c r="K981" s="780"/>
    </row>
    <row r="982" spans="1:11" ht="21.95" customHeight="1" x14ac:dyDescent="0.2">
      <c r="A982" s="282" t="s">
        <v>1276</v>
      </c>
      <c r="B982" s="282"/>
      <c r="C982" s="283" t="s">
        <v>1458</v>
      </c>
      <c r="D982" s="282" t="s">
        <v>1250</v>
      </c>
      <c r="E982" s="282" t="s">
        <v>1459</v>
      </c>
      <c r="F982" s="282" t="s">
        <v>1278</v>
      </c>
      <c r="G982" s="284" t="s">
        <v>75</v>
      </c>
      <c r="H982" s="283" t="s">
        <v>1460</v>
      </c>
      <c r="I982" s="283" t="s">
        <v>1461</v>
      </c>
      <c r="J982" s="779">
        <v>2.94</v>
      </c>
      <c r="K982" s="780"/>
    </row>
    <row r="983" spans="1:11" ht="21.95" customHeight="1" x14ac:dyDescent="0.2">
      <c r="A983" s="282" t="s">
        <v>1276</v>
      </c>
      <c r="B983" s="282"/>
      <c r="C983" s="283" t="s">
        <v>1462</v>
      </c>
      <c r="D983" s="282" t="s">
        <v>1250</v>
      </c>
      <c r="E983" s="282" t="s">
        <v>1463</v>
      </c>
      <c r="F983" s="282" t="s">
        <v>1278</v>
      </c>
      <c r="G983" s="284" t="s">
        <v>749</v>
      </c>
      <c r="H983" s="283" t="s">
        <v>1464</v>
      </c>
      <c r="I983" s="283" t="s">
        <v>1465</v>
      </c>
      <c r="J983" s="779">
        <v>0.04</v>
      </c>
      <c r="K983" s="780"/>
    </row>
    <row r="984" spans="1:11" ht="21.95" customHeight="1" x14ac:dyDescent="0.2">
      <c r="A984" s="282" t="s">
        <v>1276</v>
      </c>
      <c r="B984" s="282"/>
      <c r="C984" s="283" t="s">
        <v>1466</v>
      </c>
      <c r="D984" s="282" t="s">
        <v>1250</v>
      </c>
      <c r="E984" s="282" t="s">
        <v>1467</v>
      </c>
      <c r="F984" s="282" t="s">
        <v>1278</v>
      </c>
      <c r="G984" s="284" t="s">
        <v>71</v>
      </c>
      <c r="H984" s="283" t="s">
        <v>1468</v>
      </c>
      <c r="I984" s="283" t="s">
        <v>1469</v>
      </c>
      <c r="J984" s="779">
        <v>0.15</v>
      </c>
      <c r="K984" s="780"/>
    </row>
    <row r="985" spans="1:11" ht="21.95" customHeight="1" thickBot="1" x14ac:dyDescent="0.25">
      <c r="A985" s="282" t="s">
        <v>1276</v>
      </c>
      <c r="B985" s="282"/>
      <c r="C985" s="283" t="s">
        <v>1470</v>
      </c>
      <c r="D985" s="282" t="s">
        <v>1250</v>
      </c>
      <c r="E985" s="282" t="s">
        <v>1471</v>
      </c>
      <c r="F985" s="282" t="s">
        <v>1278</v>
      </c>
      <c r="G985" s="284" t="s">
        <v>749</v>
      </c>
      <c r="H985" s="283" t="s">
        <v>1472</v>
      </c>
      <c r="I985" s="283" t="s">
        <v>1473</v>
      </c>
      <c r="J985" s="770">
        <v>0</v>
      </c>
      <c r="K985" s="771"/>
    </row>
    <row r="986" spans="1:11" ht="0.95" customHeight="1" thickTop="1" x14ac:dyDescent="0.2">
      <c r="A986" s="281"/>
      <c r="B986" s="281"/>
      <c r="C986" s="281"/>
      <c r="D986" s="281"/>
      <c r="E986" s="281"/>
      <c r="F986" s="281"/>
      <c r="G986" s="281"/>
      <c r="H986" s="281"/>
      <c r="I986" s="281"/>
      <c r="J986" s="421"/>
      <c r="K986" s="421"/>
    </row>
    <row r="987" spans="1:11" ht="18" customHeight="1" x14ac:dyDescent="0.2">
      <c r="A987" s="272"/>
      <c r="B987" s="272" t="s">
        <v>54</v>
      </c>
      <c r="C987" s="273" t="s">
        <v>1239</v>
      </c>
      <c r="D987" s="272" t="s">
        <v>1240</v>
      </c>
      <c r="E987" s="272" t="s">
        <v>1241</v>
      </c>
      <c r="F987" s="272" t="s">
        <v>1242</v>
      </c>
      <c r="G987" s="274" t="s">
        <v>60</v>
      </c>
      <c r="H987" s="273" t="s">
        <v>58</v>
      </c>
      <c r="I987" s="273" t="s">
        <v>1243</v>
      </c>
      <c r="J987" s="775" t="s">
        <v>196</v>
      </c>
      <c r="K987" s="776"/>
    </row>
    <row r="988" spans="1:11" ht="21.95" customHeight="1" x14ac:dyDescent="0.2">
      <c r="A988" s="275" t="s">
        <v>1244</v>
      </c>
      <c r="B988" s="275" t="s">
        <v>4192</v>
      </c>
      <c r="C988" s="276" t="s">
        <v>1474</v>
      </c>
      <c r="D988" s="275" t="s">
        <v>1246</v>
      </c>
      <c r="E988" s="275" t="s">
        <v>266</v>
      </c>
      <c r="F988" s="275" t="s">
        <v>1364</v>
      </c>
      <c r="G988" s="277" t="s">
        <v>71</v>
      </c>
      <c r="H988" s="276">
        <v>1</v>
      </c>
      <c r="I988" s="276" t="s">
        <v>1475</v>
      </c>
      <c r="J988" s="777" t="s">
        <v>1475</v>
      </c>
      <c r="K988" s="778"/>
    </row>
    <row r="989" spans="1:11" ht="21.95" customHeight="1" x14ac:dyDescent="0.2">
      <c r="A989" s="278" t="s">
        <v>1248</v>
      </c>
      <c r="B989" s="278"/>
      <c r="C989" s="279" t="s">
        <v>1476</v>
      </c>
      <c r="D989" s="278" t="s">
        <v>1250</v>
      </c>
      <c r="E989" s="278" t="s">
        <v>1477</v>
      </c>
      <c r="F989" s="278" t="s">
        <v>1252</v>
      </c>
      <c r="G989" s="280" t="s">
        <v>1253</v>
      </c>
      <c r="H989" s="279" t="s">
        <v>1443</v>
      </c>
      <c r="I989" s="279" t="s">
        <v>1478</v>
      </c>
      <c r="J989" s="781">
        <v>0.22</v>
      </c>
      <c r="K989" s="782"/>
    </row>
    <row r="990" spans="1:11" ht="21.95" customHeight="1" x14ac:dyDescent="0.2">
      <c r="A990" s="278" t="s">
        <v>1248</v>
      </c>
      <c r="B990" s="278"/>
      <c r="C990" s="279" t="s">
        <v>1452</v>
      </c>
      <c r="D990" s="278" t="s">
        <v>1250</v>
      </c>
      <c r="E990" s="278" t="s">
        <v>1453</v>
      </c>
      <c r="F990" s="278" t="s">
        <v>1252</v>
      </c>
      <c r="G990" s="280" t="s">
        <v>1253</v>
      </c>
      <c r="H990" s="279" t="s">
        <v>1430</v>
      </c>
      <c r="I990" s="279" t="s">
        <v>1454</v>
      </c>
      <c r="J990" s="781">
        <v>0.52</v>
      </c>
      <c r="K990" s="782"/>
    </row>
    <row r="991" spans="1:11" ht="33" customHeight="1" thickBot="1" x14ac:dyDescent="0.25">
      <c r="A991" s="278" t="s">
        <v>1248</v>
      </c>
      <c r="B991" s="278"/>
      <c r="C991" s="279" t="s">
        <v>1479</v>
      </c>
      <c r="D991" s="278" t="s">
        <v>1250</v>
      </c>
      <c r="E991" s="278" t="s">
        <v>1480</v>
      </c>
      <c r="F991" s="278" t="s">
        <v>1481</v>
      </c>
      <c r="G991" s="280" t="s">
        <v>1482</v>
      </c>
      <c r="H991" s="279" t="s">
        <v>1483</v>
      </c>
      <c r="I991" s="279" t="s">
        <v>1484</v>
      </c>
      <c r="J991" s="784">
        <v>1.38</v>
      </c>
      <c r="K991" s="785"/>
    </row>
    <row r="992" spans="1:11" ht="0.95" customHeight="1" thickTop="1" x14ac:dyDescent="0.2">
      <c r="A992" s="281"/>
      <c r="B992" s="281"/>
      <c r="C992" s="281"/>
      <c r="D992" s="281"/>
      <c r="E992" s="281"/>
      <c r="F992" s="281"/>
      <c r="G992" s="281"/>
      <c r="H992" s="281"/>
      <c r="I992" s="281"/>
      <c r="J992" s="421"/>
      <c r="K992" s="421"/>
    </row>
    <row r="993" spans="1:11" ht="18" customHeight="1" x14ac:dyDescent="0.2">
      <c r="A993" s="272"/>
      <c r="B993" s="272" t="s">
        <v>54</v>
      </c>
      <c r="C993" s="273" t="s">
        <v>1239</v>
      </c>
      <c r="D993" s="272" t="s">
        <v>1240</v>
      </c>
      <c r="E993" s="272" t="s">
        <v>1241</v>
      </c>
      <c r="F993" s="272" t="s">
        <v>1242</v>
      </c>
      <c r="G993" s="274" t="s">
        <v>60</v>
      </c>
      <c r="H993" s="273" t="s">
        <v>58</v>
      </c>
      <c r="I993" s="273" t="s">
        <v>1243</v>
      </c>
      <c r="J993" s="775" t="s">
        <v>196</v>
      </c>
      <c r="K993" s="776"/>
    </row>
    <row r="994" spans="1:11" ht="21.95" customHeight="1" x14ac:dyDescent="0.2">
      <c r="A994" s="275" t="s">
        <v>1244</v>
      </c>
      <c r="B994" s="275" t="s">
        <v>4193</v>
      </c>
      <c r="C994" s="276" t="s">
        <v>1439</v>
      </c>
      <c r="D994" s="275" t="s">
        <v>1246</v>
      </c>
      <c r="E994" s="275" t="s">
        <v>264</v>
      </c>
      <c r="F994" s="275" t="s">
        <v>1364</v>
      </c>
      <c r="G994" s="277" t="s">
        <v>71</v>
      </c>
      <c r="H994" s="276">
        <v>1</v>
      </c>
      <c r="I994" s="276" t="s">
        <v>1440</v>
      </c>
      <c r="J994" s="777" t="s">
        <v>1440</v>
      </c>
      <c r="K994" s="778"/>
    </row>
    <row r="995" spans="1:11" ht="21.95" customHeight="1" x14ac:dyDescent="0.2">
      <c r="A995" s="278" t="s">
        <v>1248</v>
      </c>
      <c r="B995" s="278"/>
      <c r="C995" s="279" t="s">
        <v>1441</v>
      </c>
      <c r="D995" s="278" t="s">
        <v>1250</v>
      </c>
      <c r="E995" s="278" t="s">
        <v>1442</v>
      </c>
      <c r="F995" s="278" t="s">
        <v>1252</v>
      </c>
      <c r="G995" s="280" t="s">
        <v>1253</v>
      </c>
      <c r="H995" s="279" t="s">
        <v>1443</v>
      </c>
      <c r="I995" s="279" t="s">
        <v>1444</v>
      </c>
      <c r="J995" s="781">
        <v>0.32</v>
      </c>
      <c r="K995" s="782"/>
    </row>
    <row r="996" spans="1:11" ht="21.95" customHeight="1" x14ac:dyDescent="0.2">
      <c r="A996" s="278" t="s">
        <v>1248</v>
      </c>
      <c r="B996" s="278"/>
      <c r="C996" s="279" t="s">
        <v>1445</v>
      </c>
      <c r="D996" s="278" t="s">
        <v>1250</v>
      </c>
      <c r="E996" s="278" t="s">
        <v>1446</v>
      </c>
      <c r="F996" s="278" t="s">
        <v>1252</v>
      </c>
      <c r="G996" s="280" t="s">
        <v>1253</v>
      </c>
      <c r="H996" s="279" t="s">
        <v>1443</v>
      </c>
      <c r="I996" s="279" t="s">
        <v>1447</v>
      </c>
      <c r="J996" s="781">
        <v>0.26</v>
      </c>
      <c r="K996" s="782"/>
    </row>
    <row r="997" spans="1:11" ht="21.95" customHeight="1" x14ac:dyDescent="0.2">
      <c r="A997" s="278" t="s">
        <v>1248</v>
      </c>
      <c r="B997" s="278"/>
      <c r="C997" s="279" t="s">
        <v>1448</v>
      </c>
      <c r="D997" s="278" t="s">
        <v>1250</v>
      </c>
      <c r="E997" s="278" t="s">
        <v>1449</v>
      </c>
      <c r="F997" s="278" t="s">
        <v>1252</v>
      </c>
      <c r="G997" s="280" t="s">
        <v>1253</v>
      </c>
      <c r="H997" s="279" t="s">
        <v>1450</v>
      </c>
      <c r="I997" s="279" t="s">
        <v>1451</v>
      </c>
      <c r="J997" s="781">
        <v>0.05</v>
      </c>
      <c r="K997" s="782"/>
    </row>
    <row r="998" spans="1:11" ht="21.95" customHeight="1" x14ac:dyDescent="0.2">
      <c r="A998" s="278" t="s">
        <v>1248</v>
      </c>
      <c r="B998" s="278"/>
      <c r="C998" s="279" t="s">
        <v>1273</v>
      </c>
      <c r="D998" s="278" t="s">
        <v>1250</v>
      </c>
      <c r="E998" s="278" t="s">
        <v>1274</v>
      </c>
      <c r="F998" s="278" t="s">
        <v>1252</v>
      </c>
      <c r="G998" s="280" t="s">
        <v>1253</v>
      </c>
      <c r="H998" s="279" t="s">
        <v>1450</v>
      </c>
      <c r="I998" s="279" t="s">
        <v>1275</v>
      </c>
      <c r="J998" s="781">
        <v>0.04</v>
      </c>
      <c r="K998" s="782"/>
    </row>
    <row r="999" spans="1:11" ht="21.95" customHeight="1" x14ac:dyDescent="0.2">
      <c r="A999" s="278" t="s">
        <v>1248</v>
      </c>
      <c r="B999" s="278"/>
      <c r="C999" s="279" t="s">
        <v>1452</v>
      </c>
      <c r="D999" s="278" t="s">
        <v>1250</v>
      </c>
      <c r="E999" s="278" t="s">
        <v>1453</v>
      </c>
      <c r="F999" s="278" t="s">
        <v>1252</v>
      </c>
      <c r="G999" s="280" t="s">
        <v>1253</v>
      </c>
      <c r="H999" s="279" t="s">
        <v>1347</v>
      </c>
      <c r="I999" s="279" t="s">
        <v>1454</v>
      </c>
      <c r="J999" s="781">
        <v>0.35</v>
      </c>
      <c r="K999" s="782"/>
    </row>
    <row r="1000" spans="1:11" ht="21.95" customHeight="1" x14ac:dyDescent="0.2">
      <c r="A1000" s="278" t="s">
        <v>1248</v>
      </c>
      <c r="B1000" s="278"/>
      <c r="C1000" s="279" t="s">
        <v>1354</v>
      </c>
      <c r="D1000" s="278" t="s">
        <v>1250</v>
      </c>
      <c r="E1000" s="278" t="s">
        <v>1355</v>
      </c>
      <c r="F1000" s="278" t="s">
        <v>1252</v>
      </c>
      <c r="G1000" s="280" t="s">
        <v>1253</v>
      </c>
      <c r="H1000" s="279" t="s">
        <v>1347</v>
      </c>
      <c r="I1000" s="279" t="s">
        <v>1299</v>
      </c>
      <c r="J1000" s="781">
        <v>0.68</v>
      </c>
      <c r="K1000" s="782"/>
    </row>
    <row r="1001" spans="1:11" ht="21.95" customHeight="1" x14ac:dyDescent="0.2">
      <c r="A1001" s="282" t="s">
        <v>1276</v>
      </c>
      <c r="B1001" s="282"/>
      <c r="C1001" s="283" t="s">
        <v>1455</v>
      </c>
      <c r="D1001" s="282" t="s">
        <v>1246</v>
      </c>
      <c r="E1001" s="282" t="s">
        <v>733</v>
      </c>
      <c r="F1001" s="282" t="s">
        <v>1278</v>
      </c>
      <c r="G1001" s="284" t="s">
        <v>71</v>
      </c>
      <c r="H1001" s="283" t="s">
        <v>1456</v>
      </c>
      <c r="I1001" s="283" t="s">
        <v>1457</v>
      </c>
      <c r="J1001" s="779">
        <v>2.56</v>
      </c>
      <c r="K1001" s="780"/>
    </row>
    <row r="1002" spans="1:11" ht="21.95" customHeight="1" x14ac:dyDescent="0.2">
      <c r="A1002" s="282" t="s">
        <v>1276</v>
      </c>
      <c r="B1002" s="282"/>
      <c r="C1002" s="283" t="s">
        <v>1458</v>
      </c>
      <c r="D1002" s="282" t="s">
        <v>1250</v>
      </c>
      <c r="E1002" s="282" t="s">
        <v>1459</v>
      </c>
      <c r="F1002" s="282" t="s">
        <v>1278</v>
      </c>
      <c r="G1002" s="284" t="s">
        <v>75</v>
      </c>
      <c r="H1002" s="283" t="s">
        <v>1460</v>
      </c>
      <c r="I1002" s="283" t="s">
        <v>1461</v>
      </c>
      <c r="J1002" s="779">
        <v>2.94</v>
      </c>
      <c r="K1002" s="780"/>
    </row>
    <row r="1003" spans="1:11" ht="21.95" customHeight="1" x14ac:dyDescent="0.2">
      <c r="A1003" s="282" t="s">
        <v>1276</v>
      </c>
      <c r="B1003" s="282"/>
      <c r="C1003" s="283" t="s">
        <v>1462</v>
      </c>
      <c r="D1003" s="282" t="s">
        <v>1250</v>
      </c>
      <c r="E1003" s="282" t="s">
        <v>1463</v>
      </c>
      <c r="F1003" s="282" t="s">
        <v>1278</v>
      </c>
      <c r="G1003" s="284" t="s">
        <v>749</v>
      </c>
      <c r="H1003" s="283" t="s">
        <v>1464</v>
      </c>
      <c r="I1003" s="283" t="s">
        <v>1465</v>
      </c>
      <c r="J1003" s="779">
        <v>0.04</v>
      </c>
      <c r="K1003" s="780"/>
    </row>
    <row r="1004" spans="1:11" ht="21.95" customHeight="1" x14ac:dyDescent="0.2">
      <c r="A1004" s="282" t="s">
        <v>1276</v>
      </c>
      <c r="B1004" s="282"/>
      <c r="C1004" s="283" t="s">
        <v>1466</v>
      </c>
      <c r="D1004" s="282" t="s">
        <v>1250</v>
      </c>
      <c r="E1004" s="282" t="s">
        <v>1467</v>
      </c>
      <c r="F1004" s="282" t="s">
        <v>1278</v>
      </c>
      <c r="G1004" s="284" t="s">
        <v>71</v>
      </c>
      <c r="H1004" s="283" t="s">
        <v>1468</v>
      </c>
      <c r="I1004" s="283" t="s">
        <v>1469</v>
      </c>
      <c r="J1004" s="779">
        <v>0.15</v>
      </c>
      <c r="K1004" s="780"/>
    </row>
    <row r="1005" spans="1:11" ht="21.95" customHeight="1" thickBot="1" x14ac:dyDescent="0.25">
      <c r="A1005" s="282" t="s">
        <v>1276</v>
      </c>
      <c r="B1005" s="282"/>
      <c r="C1005" s="283" t="s">
        <v>1470</v>
      </c>
      <c r="D1005" s="282" t="s">
        <v>1250</v>
      </c>
      <c r="E1005" s="282" t="s">
        <v>1471</v>
      </c>
      <c r="F1005" s="282" t="s">
        <v>1278</v>
      </c>
      <c r="G1005" s="284" t="s">
        <v>749</v>
      </c>
      <c r="H1005" s="283" t="s">
        <v>1472</v>
      </c>
      <c r="I1005" s="283" t="s">
        <v>1473</v>
      </c>
      <c r="J1005" s="770">
        <v>0</v>
      </c>
      <c r="K1005" s="771"/>
    </row>
    <row r="1006" spans="1:11" ht="0.95" customHeight="1" thickTop="1" x14ac:dyDescent="0.2">
      <c r="A1006" s="281"/>
      <c r="B1006" s="281"/>
      <c r="C1006" s="281"/>
      <c r="D1006" s="281"/>
      <c r="E1006" s="281"/>
      <c r="F1006" s="281"/>
      <c r="G1006" s="281"/>
      <c r="H1006" s="281"/>
      <c r="I1006" s="281"/>
      <c r="J1006" s="421"/>
      <c r="K1006" s="421"/>
    </row>
    <row r="1007" spans="1:11" ht="18" customHeight="1" x14ac:dyDescent="0.2">
      <c r="A1007" s="272"/>
      <c r="B1007" s="272" t="s">
        <v>54</v>
      </c>
      <c r="C1007" s="273" t="s">
        <v>1239</v>
      </c>
      <c r="D1007" s="272" t="s">
        <v>1240</v>
      </c>
      <c r="E1007" s="272" t="s">
        <v>1241</v>
      </c>
      <c r="F1007" s="272" t="s">
        <v>1242</v>
      </c>
      <c r="G1007" s="274" t="s">
        <v>60</v>
      </c>
      <c r="H1007" s="273" t="s">
        <v>58</v>
      </c>
      <c r="I1007" s="273" t="s">
        <v>1243</v>
      </c>
      <c r="J1007" s="775" t="s">
        <v>196</v>
      </c>
      <c r="K1007" s="776"/>
    </row>
    <row r="1008" spans="1:11" ht="21.95" customHeight="1" x14ac:dyDescent="0.2">
      <c r="A1008" s="275" t="s">
        <v>1244</v>
      </c>
      <c r="B1008" s="275" t="s">
        <v>4194</v>
      </c>
      <c r="C1008" s="276" t="s">
        <v>1474</v>
      </c>
      <c r="D1008" s="275" t="s">
        <v>1246</v>
      </c>
      <c r="E1008" s="275" t="s">
        <v>266</v>
      </c>
      <c r="F1008" s="275" t="s">
        <v>1364</v>
      </c>
      <c r="G1008" s="277" t="s">
        <v>71</v>
      </c>
      <c r="H1008" s="276">
        <v>1</v>
      </c>
      <c r="I1008" s="276" t="s">
        <v>1475</v>
      </c>
      <c r="J1008" s="777" t="s">
        <v>1475</v>
      </c>
      <c r="K1008" s="778"/>
    </row>
    <row r="1009" spans="1:11" ht="21.95" customHeight="1" x14ac:dyDescent="0.2">
      <c r="A1009" s="278" t="s">
        <v>1248</v>
      </c>
      <c r="B1009" s="278"/>
      <c r="C1009" s="279" t="s">
        <v>1476</v>
      </c>
      <c r="D1009" s="278" t="s">
        <v>1250</v>
      </c>
      <c r="E1009" s="278" t="s">
        <v>1477</v>
      </c>
      <c r="F1009" s="278" t="s">
        <v>1252</v>
      </c>
      <c r="G1009" s="280" t="s">
        <v>1253</v>
      </c>
      <c r="H1009" s="279" t="s">
        <v>1443</v>
      </c>
      <c r="I1009" s="279" t="s">
        <v>1478</v>
      </c>
      <c r="J1009" s="781">
        <v>0.22</v>
      </c>
      <c r="K1009" s="782"/>
    </row>
    <row r="1010" spans="1:11" ht="21.95" customHeight="1" x14ac:dyDescent="0.2">
      <c r="A1010" s="278" t="s">
        <v>1248</v>
      </c>
      <c r="B1010" s="278"/>
      <c r="C1010" s="279" t="s">
        <v>1452</v>
      </c>
      <c r="D1010" s="278" t="s">
        <v>1250</v>
      </c>
      <c r="E1010" s="278" t="s">
        <v>1453</v>
      </c>
      <c r="F1010" s="278" t="s">
        <v>1252</v>
      </c>
      <c r="G1010" s="280" t="s">
        <v>1253</v>
      </c>
      <c r="H1010" s="279" t="s">
        <v>1430</v>
      </c>
      <c r="I1010" s="279" t="s">
        <v>1454</v>
      </c>
      <c r="J1010" s="781">
        <v>0.52</v>
      </c>
      <c r="K1010" s="782"/>
    </row>
    <row r="1011" spans="1:11" ht="33" customHeight="1" thickBot="1" x14ac:dyDescent="0.25">
      <c r="A1011" s="278" t="s">
        <v>1248</v>
      </c>
      <c r="B1011" s="278"/>
      <c r="C1011" s="279" t="s">
        <v>1479</v>
      </c>
      <c r="D1011" s="278" t="s">
        <v>1250</v>
      </c>
      <c r="E1011" s="278" t="s">
        <v>1480</v>
      </c>
      <c r="F1011" s="278" t="s">
        <v>1481</v>
      </c>
      <c r="G1011" s="280" t="s">
        <v>1482</v>
      </c>
      <c r="H1011" s="279" t="s">
        <v>1483</v>
      </c>
      <c r="I1011" s="279" t="s">
        <v>1484</v>
      </c>
      <c r="J1011" s="784">
        <v>1.38</v>
      </c>
      <c r="K1011" s="785"/>
    </row>
    <row r="1012" spans="1:11" ht="0.95" customHeight="1" thickTop="1" x14ac:dyDescent="0.2">
      <c r="A1012" s="281"/>
      <c r="B1012" s="281"/>
      <c r="C1012" s="281"/>
      <c r="D1012" s="281"/>
      <c r="E1012" s="281"/>
      <c r="F1012" s="281"/>
      <c r="G1012" s="281"/>
      <c r="H1012" s="281"/>
      <c r="I1012" s="281"/>
      <c r="J1012" s="421"/>
      <c r="K1012" s="421"/>
    </row>
    <row r="1013" spans="1:11" ht="18" customHeight="1" x14ac:dyDescent="0.2">
      <c r="A1013" s="272"/>
      <c r="B1013" s="272" t="s">
        <v>54</v>
      </c>
      <c r="C1013" s="273" t="s">
        <v>1239</v>
      </c>
      <c r="D1013" s="272" t="s">
        <v>1240</v>
      </c>
      <c r="E1013" s="272" t="s">
        <v>1241</v>
      </c>
      <c r="F1013" s="272" t="s">
        <v>1242</v>
      </c>
      <c r="G1013" s="274" t="s">
        <v>60</v>
      </c>
      <c r="H1013" s="273" t="s">
        <v>58</v>
      </c>
      <c r="I1013" s="273" t="s">
        <v>1243</v>
      </c>
      <c r="J1013" s="775" t="s">
        <v>196</v>
      </c>
      <c r="K1013" s="776"/>
    </row>
    <row r="1014" spans="1:11" ht="33" customHeight="1" x14ac:dyDescent="0.2">
      <c r="A1014" s="275" t="s">
        <v>1244</v>
      </c>
      <c r="B1014" s="275" t="s">
        <v>4195</v>
      </c>
      <c r="C1014" s="276" t="s">
        <v>1873</v>
      </c>
      <c r="D1014" s="275" t="s">
        <v>1246</v>
      </c>
      <c r="E1014" s="275" t="s">
        <v>578</v>
      </c>
      <c r="F1014" s="275" t="s">
        <v>1874</v>
      </c>
      <c r="G1014" s="277" t="s">
        <v>153</v>
      </c>
      <c r="H1014" s="276">
        <v>1</v>
      </c>
      <c r="I1014" s="276" t="s">
        <v>1875</v>
      </c>
      <c r="J1014" s="777" t="s">
        <v>1875</v>
      </c>
      <c r="K1014" s="778"/>
    </row>
    <row r="1015" spans="1:11" ht="21.95" customHeight="1" x14ac:dyDescent="0.2">
      <c r="A1015" s="278" t="s">
        <v>1248</v>
      </c>
      <c r="B1015" s="278"/>
      <c r="C1015" s="279" t="s">
        <v>1876</v>
      </c>
      <c r="D1015" s="278" t="s">
        <v>1250</v>
      </c>
      <c r="E1015" s="278" t="s">
        <v>251</v>
      </c>
      <c r="F1015" s="278" t="s">
        <v>1364</v>
      </c>
      <c r="G1015" s="280" t="s">
        <v>153</v>
      </c>
      <c r="H1015" s="279" t="s">
        <v>1262</v>
      </c>
      <c r="I1015" s="279" t="s">
        <v>1877</v>
      </c>
      <c r="J1015" s="781">
        <v>23.45</v>
      </c>
      <c r="K1015" s="782"/>
    </row>
    <row r="1016" spans="1:11" ht="33" customHeight="1" thickBot="1" x14ac:dyDescent="0.25">
      <c r="A1016" s="282" t="s">
        <v>1276</v>
      </c>
      <c r="B1016" s="282"/>
      <c r="C1016" s="283" t="s">
        <v>1878</v>
      </c>
      <c r="D1016" s="282" t="s">
        <v>1250</v>
      </c>
      <c r="E1016" s="282" t="s">
        <v>1879</v>
      </c>
      <c r="F1016" s="282" t="s">
        <v>1278</v>
      </c>
      <c r="G1016" s="284" t="s">
        <v>153</v>
      </c>
      <c r="H1016" s="283" t="s">
        <v>1262</v>
      </c>
      <c r="I1016" s="283" t="s">
        <v>1880</v>
      </c>
      <c r="J1016" s="770">
        <v>364.73</v>
      </c>
      <c r="K1016" s="771"/>
    </row>
    <row r="1017" spans="1:11" ht="0.95" customHeight="1" thickTop="1" x14ac:dyDescent="0.2">
      <c r="A1017" s="281"/>
      <c r="B1017" s="281"/>
      <c r="C1017" s="281"/>
      <c r="D1017" s="281"/>
      <c r="E1017" s="281"/>
      <c r="F1017" s="281"/>
      <c r="G1017" s="281"/>
      <c r="H1017" s="281"/>
      <c r="I1017" s="281"/>
      <c r="J1017" s="421"/>
      <c r="K1017" s="421"/>
    </row>
    <row r="1018" spans="1:11" ht="18" customHeight="1" x14ac:dyDescent="0.2">
      <c r="A1018" s="272"/>
      <c r="B1018" s="272" t="s">
        <v>54</v>
      </c>
      <c r="C1018" s="273" t="s">
        <v>1239</v>
      </c>
      <c r="D1018" s="272" t="s">
        <v>1240</v>
      </c>
      <c r="E1018" s="272" t="s">
        <v>1241</v>
      </c>
      <c r="F1018" s="272" t="s">
        <v>1242</v>
      </c>
      <c r="G1018" s="274" t="s">
        <v>60</v>
      </c>
      <c r="H1018" s="273" t="s">
        <v>58</v>
      </c>
      <c r="I1018" s="273" t="s">
        <v>1243</v>
      </c>
      <c r="J1018" s="775" t="s">
        <v>196</v>
      </c>
      <c r="K1018" s="776"/>
    </row>
    <row r="1019" spans="1:11" ht="44.1" customHeight="1" x14ac:dyDescent="0.2">
      <c r="A1019" s="275" t="s">
        <v>1244</v>
      </c>
      <c r="B1019" s="275" t="s">
        <v>4196</v>
      </c>
      <c r="C1019" s="276" t="s">
        <v>2146</v>
      </c>
      <c r="D1019" s="275" t="s">
        <v>1246</v>
      </c>
      <c r="E1019" s="275" t="s">
        <v>2147</v>
      </c>
      <c r="F1019" s="275" t="s">
        <v>1364</v>
      </c>
      <c r="G1019" s="277" t="s">
        <v>71</v>
      </c>
      <c r="H1019" s="276">
        <v>1</v>
      </c>
      <c r="I1019" s="276" t="s">
        <v>1376</v>
      </c>
      <c r="J1019" s="777" t="s">
        <v>1376</v>
      </c>
      <c r="K1019" s="778"/>
    </row>
    <row r="1020" spans="1:11" ht="21.95" customHeight="1" x14ac:dyDescent="0.2">
      <c r="A1020" s="278" t="s">
        <v>1248</v>
      </c>
      <c r="B1020" s="278"/>
      <c r="C1020" s="279" t="s">
        <v>1706</v>
      </c>
      <c r="D1020" s="278" t="s">
        <v>1250</v>
      </c>
      <c r="E1020" s="278" t="s">
        <v>1707</v>
      </c>
      <c r="F1020" s="278" t="s">
        <v>1252</v>
      </c>
      <c r="G1020" s="280" t="s">
        <v>1253</v>
      </c>
      <c r="H1020" s="279" t="s">
        <v>2497</v>
      </c>
      <c r="I1020" s="279" t="s">
        <v>1708</v>
      </c>
      <c r="J1020" s="781">
        <v>0.22</v>
      </c>
      <c r="K1020" s="782"/>
    </row>
    <row r="1021" spans="1:11" ht="21.95" customHeight="1" x14ac:dyDescent="0.2">
      <c r="A1021" s="278" t="s">
        <v>1248</v>
      </c>
      <c r="B1021" s="278"/>
      <c r="C1021" s="279" t="s">
        <v>1427</v>
      </c>
      <c r="D1021" s="278" t="s">
        <v>1250</v>
      </c>
      <c r="E1021" s="278" t="s">
        <v>1428</v>
      </c>
      <c r="F1021" s="278" t="s">
        <v>1252</v>
      </c>
      <c r="G1021" s="280" t="s">
        <v>1253</v>
      </c>
      <c r="H1021" s="279" t="s">
        <v>2498</v>
      </c>
      <c r="I1021" s="279" t="s">
        <v>1299</v>
      </c>
      <c r="J1021" s="781">
        <v>1.68</v>
      </c>
      <c r="K1021" s="782"/>
    </row>
    <row r="1022" spans="1:11" ht="33" customHeight="1" x14ac:dyDescent="0.2">
      <c r="A1022" s="278" t="s">
        <v>1248</v>
      </c>
      <c r="B1022" s="278"/>
      <c r="C1022" s="279" t="s">
        <v>2499</v>
      </c>
      <c r="D1022" s="278" t="s">
        <v>1250</v>
      </c>
      <c r="E1022" s="278" t="s">
        <v>2500</v>
      </c>
      <c r="F1022" s="278" t="s">
        <v>1364</v>
      </c>
      <c r="G1022" s="280" t="s">
        <v>71</v>
      </c>
      <c r="H1022" s="279" t="s">
        <v>1262</v>
      </c>
      <c r="I1022" s="279" t="s">
        <v>2501</v>
      </c>
      <c r="J1022" s="781">
        <v>8.18</v>
      </c>
      <c r="K1022" s="782"/>
    </row>
    <row r="1023" spans="1:11" ht="21.95" customHeight="1" x14ac:dyDescent="0.2">
      <c r="A1023" s="282" t="s">
        <v>1276</v>
      </c>
      <c r="B1023" s="282"/>
      <c r="C1023" s="283" t="s">
        <v>1431</v>
      </c>
      <c r="D1023" s="282" t="s">
        <v>1250</v>
      </c>
      <c r="E1023" s="282" t="s">
        <v>1432</v>
      </c>
      <c r="F1023" s="282" t="s">
        <v>1278</v>
      </c>
      <c r="G1023" s="284" t="s">
        <v>71</v>
      </c>
      <c r="H1023" s="283" t="s">
        <v>1339</v>
      </c>
      <c r="I1023" s="283" t="s">
        <v>1434</v>
      </c>
      <c r="J1023" s="779">
        <v>0.21</v>
      </c>
      <c r="K1023" s="780"/>
    </row>
    <row r="1024" spans="1:11" ht="33" customHeight="1" thickBot="1" x14ac:dyDescent="0.25">
      <c r="A1024" s="282" t="s">
        <v>1276</v>
      </c>
      <c r="B1024" s="282"/>
      <c r="C1024" s="283" t="s">
        <v>2481</v>
      </c>
      <c r="D1024" s="282" t="s">
        <v>1250</v>
      </c>
      <c r="E1024" s="282" t="s">
        <v>2482</v>
      </c>
      <c r="F1024" s="282" t="s">
        <v>1278</v>
      </c>
      <c r="G1024" s="284" t="s">
        <v>52</v>
      </c>
      <c r="H1024" s="283" t="s">
        <v>2502</v>
      </c>
      <c r="I1024" s="283" t="s">
        <v>2484</v>
      </c>
      <c r="J1024" s="770">
        <v>0.09</v>
      </c>
      <c r="K1024" s="771"/>
    </row>
    <row r="1025" spans="1:11" ht="0.95" customHeight="1" thickTop="1" x14ac:dyDescent="0.2">
      <c r="A1025" s="281"/>
      <c r="B1025" s="281"/>
      <c r="C1025" s="281"/>
      <c r="D1025" s="281"/>
      <c r="E1025" s="281"/>
      <c r="F1025" s="281"/>
      <c r="G1025" s="281"/>
      <c r="H1025" s="281"/>
      <c r="I1025" s="281"/>
      <c r="J1025" s="421"/>
      <c r="K1025" s="421"/>
    </row>
    <row r="1026" spans="1:11" ht="18" customHeight="1" x14ac:dyDescent="0.2">
      <c r="A1026" s="272"/>
      <c r="B1026" s="272" t="s">
        <v>54</v>
      </c>
      <c r="C1026" s="273" t="s">
        <v>1239</v>
      </c>
      <c r="D1026" s="272" t="s">
        <v>1240</v>
      </c>
      <c r="E1026" s="272" t="s">
        <v>1241</v>
      </c>
      <c r="F1026" s="272" t="s">
        <v>1242</v>
      </c>
      <c r="G1026" s="274" t="s">
        <v>60</v>
      </c>
      <c r="H1026" s="273" t="s">
        <v>58</v>
      </c>
      <c r="I1026" s="273" t="s">
        <v>1243</v>
      </c>
      <c r="J1026" s="775" t="s">
        <v>196</v>
      </c>
      <c r="K1026" s="776"/>
    </row>
    <row r="1027" spans="1:11" ht="21.95" customHeight="1" x14ac:dyDescent="0.2">
      <c r="A1027" s="275" t="s">
        <v>1244</v>
      </c>
      <c r="B1027" s="275" t="s">
        <v>4197</v>
      </c>
      <c r="C1027" s="276" t="s">
        <v>4198</v>
      </c>
      <c r="D1027" s="275" t="s">
        <v>1246</v>
      </c>
      <c r="E1027" s="275" t="s">
        <v>3290</v>
      </c>
      <c r="F1027" s="275" t="s">
        <v>1750</v>
      </c>
      <c r="G1027" s="277" t="s">
        <v>60</v>
      </c>
      <c r="H1027" s="276">
        <v>1</v>
      </c>
      <c r="I1027" s="276" t="s">
        <v>4199</v>
      </c>
      <c r="J1027" s="777" t="s">
        <v>4199</v>
      </c>
      <c r="K1027" s="778"/>
    </row>
    <row r="1028" spans="1:11" ht="21.95" customHeight="1" x14ac:dyDescent="0.2">
      <c r="A1028" s="278" t="s">
        <v>1248</v>
      </c>
      <c r="B1028" s="278"/>
      <c r="C1028" s="279" t="s">
        <v>1288</v>
      </c>
      <c r="D1028" s="278" t="s">
        <v>1250</v>
      </c>
      <c r="E1028" s="278" t="s">
        <v>1289</v>
      </c>
      <c r="F1028" s="278" t="s">
        <v>1252</v>
      </c>
      <c r="G1028" s="280" t="s">
        <v>1253</v>
      </c>
      <c r="H1028" s="279" t="s">
        <v>4200</v>
      </c>
      <c r="I1028" s="279" t="s">
        <v>1291</v>
      </c>
      <c r="J1028" s="781">
        <v>0.64</v>
      </c>
      <c r="K1028" s="782"/>
    </row>
    <row r="1029" spans="1:11" ht="21.95" customHeight="1" x14ac:dyDescent="0.2">
      <c r="A1029" s="278" t="s">
        <v>1248</v>
      </c>
      <c r="B1029" s="278"/>
      <c r="C1029" s="279" t="s">
        <v>4201</v>
      </c>
      <c r="D1029" s="278" t="s">
        <v>1250</v>
      </c>
      <c r="E1029" s="278" t="s">
        <v>4202</v>
      </c>
      <c r="F1029" s="278" t="s">
        <v>1252</v>
      </c>
      <c r="G1029" s="280" t="s">
        <v>1253</v>
      </c>
      <c r="H1029" s="279" t="s">
        <v>4200</v>
      </c>
      <c r="I1029" s="279" t="s">
        <v>1636</v>
      </c>
      <c r="J1029" s="781">
        <v>0</v>
      </c>
      <c r="K1029" s="782"/>
    </row>
    <row r="1030" spans="1:11" ht="21.95" customHeight="1" x14ac:dyDescent="0.2">
      <c r="A1030" s="282" t="s">
        <v>1276</v>
      </c>
      <c r="B1030" s="282"/>
      <c r="C1030" s="283" t="s">
        <v>2064</v>
      </c>
      <c r="D1030" s="282" t="s">
        <v>1250</v>
      </c>
      <c r="E1030" s="282" t="s">
        <v>2065</v>
      </c>
      <c r="F1030" s="282" t="s">
        <v>1278</v>
      </c>
      <c r="G1030" s="284" t="s">
        <v>52</v>
      </c>
      <c r="H1030" s="283" t="s">
        <v>4203</v>
      </c>
      <c r="I1030" s="283" t="s">
        <v>2067</v>
      </c>
      <c r="J1030" s="779">
        <v>0.28000000000000003</v>
      </c>
      <c r="K1030" s="780"/>
    </row>
    <row r="1031" spans="1:11" ht="21.95" customHeight="1" x14ac:dyDescent="0.2">
      <c r="A1031" s="282" t="s">
        <v>1276</v>
      </c>
      <c r="B1031" s="282"/>
      <c r="C1031" s="283" t="s">
        <v>2070</v>
      </c>
      <c r="D1031" s="282" t="s">
        <v>1250</v>
      </c>
      <c r="E1031" s="282" t="s">
        <v>2071</v>
      </c>
      <c r="F1031" s="282" t="s">
        <v>1278</v>
      </c>
      <c r="G1031" s="284" t="s">
        <v>52</v>
      </c>
      <c r="H1031" s="283" t="s">
        <v>4204</v>
      </c>
      <c r="I1031" s="283" t="s">
        <v>2072</v>
      </c>
      <c r="J1031" s="779">
        <v>0.21</v>
      </c>
      <c r="K1031" s="780"/>
    </row>
    <row r="1032" spans="1:11" ht="21.95" customHeight="1" thickBot="1" x14ac:dyDescent="0.25">
      <c r="A1032" s="282" t="s">
        <v>1276</v>
      </c>
      <c r="B1032" s="282"/>
      <c r="C1032" s="283" t="s">
        <v>4205</v>
      </c>
      <c r="D1032" s="282" t="s">
        <v>1250</v>
      </c>
      <c r="E1032" s="282" t="s">
        <v>4206</v>
      </c>
      <c r="F1032" s="282" t="s">
        <v>1278</v>
      </c>
      <c r="G1032" s="284" t="s">
        <v>52</v>
      </c>
      <c r="H1032" s="283" t="s">
        <v>1262</v>
      </c>
      <c r="I1032" s="283" t="s">
        <v>4207</v>
      </c>
      <c r="J1032" s="770">
        <v>1.36</v>
      </c>
      <c r="K1032" s="771"/>
    </row>
    <row r="1033" spans="1:11" ht="0.95" customHeight="1" thickTop="1" x14ac:dyDescent="0.2">
      <c r="A1033" s="281"/>
      <c r="B1033" s="281"/>
      <c r="C1033" s="281"/>
      <c r="D1033" s="281"/>
      <c r="E1033" s="281"/>
      <c r="F1033" s="281"/>
      <c r="G1033" s="281"/>
      <c r="H1033" s="281"/>
      <c r="I1033" s="281"/>
      <c r="J1033" s="421"/>
      <c r="K1033" s="421"/>
    </row>
    <row r="1034" spans="1:11" ht="18" customHeight="1" x14ac:dyDescent="0.2">
      <c r="A1034" s="272"/>
      <c r="B1034" s="272" t="s">
        <v>54</v>
      </c>
      <c r="C1034" s="273" t="s">
        <v>1239</v>
      </c>
      <c r="D1034" s="272" t="s">
        <v>1240</v>
      </c>
      <c r="E1034" s="272" t="s">
        <v>1241</v>
      </c>
      <c r="F1034" s="272" t="s">
        <v>1242</v>
      </c>
      <c r="G1034" s="274" t="s">
        <v>60</v>
      </c>
      <c r="H1034" s="273" t="s">
        <v>58</v>
      </c>
      <c r="I1034" s="273" t="s">
        <v>1243</v>
      </c>
      <c r="J1034" s="775" t="s">
        <v>196</v>
      </c>
      <c r="K1034" s="776"/>
    </row>
    <row r="1035" spans="1:11" ht="21.95" customHeight="1" x14ac:dyDescent="0.2">
      <c r="A1035" s="275" t="s">
        <v>1244</v>
      </c>
      <c r="B1035" s="275" t="s">
        <v>4208</v>
      </c>
      <c r="C1035" s="276" t="s">
        <v>4209</v>
      </c>
      <c r="D1035" s="275" t="s">
        <v>1246</v>
      </c>
      <c r="E1035" s="275" t="s">
        <v>3761</v>
      </c>
      <c r="F1035" s="275" t="s">
        <v>1750</v>
      </c>
      <c r="G1035" s="277" t="s">
        <v>52</v>
      </c>
      <c r="H1035" s="276">
        <v>1</v>
      </c>
      <c r="I1035" s="276" t="s">
        <v>4210</v>
      </c>
      <c r="J1035" s="777" t="s">
        <v>4210</v>
      </c>
      <c r="K1035" s="778"/>
    </row>
    <row r="1036" spans="1:11" ht="21.95" customHeight="1" x14ac:dyDescent="0.2">
      <c r="A1036" s="278" t="s">
        <v>1248</v>
      </c>
      <c r="B1036" s="278"/>
      <c r="C1036" s="279" t="s">
        <v>1273</v>
      </c>
      <c r="D1036" s="278" t="s">
        <v>1250</v>
      </c>
      <c r="E1036" s="278" t="s">
        <v>1274</v>
      </c>
      <c r="F1036" s="278" t="s">
        <v>1252</v>
      </c>
      <c r="G1036" s="280" t="s">
        <v>1253</v>
      </c>
      <c r="H1036" s="279" t="s">
        <v>1345</v>
      </c>
      <c r="I1036" s="279" t="s">
        <v>1275</v>
      </c>
      <c r="J1036" s="781">
        <v>1.94</v>
      </c>
      <c r="K1036" s="782"/>
    </row>
    <row r="1037" spans="1:11" ht="21.95" customHeight="1" x14ac:dyDescent="0.2">
      <c r="A1037" s="278" t="s">
        <v>1248</v>
      </c>
      <c r="B1037" s="278"/>
      <c r="C1037" s="279" t="s">
        <v>1292</v>
      </c>
      <c r="D1037" s="278" t="s">
        <v>1250</v>
      </c>
      <c r="E1037" s="278" t="s">
        <v>1293</v>
      </c>
      <c r="F1037" s="278" t="s">
        <v>1252</v>
      </c>
      <c r="G1037" s="280" t="s">
        <v>1253</v>
      </c>
      <c r="H1037" s="279" t="s">
        <v>1345</v>
      </c>
      <c r="I1037" s="279" t="s">
        <v>1295</v>
      </c>
      <c r="J1037" s="781">
        <v>2.44</v>
      </c>
      <c r="K1037" s="782"/>
    </row>
    <row r="1038" spans="1:11" ht="21.95" customHeight="1" x14ac:dyDescent="0.2">
      <c r="A1038" s="282" t="s">
        <v>1276</v>
      </c>
      <c r="B1038" s="282"/>
      <c r="C1038" s="283" t="s">
        <v>2064</v>
      </c>
      <c r="D1038" s="282" t="s">
        <v>1250</v>
      </c>
      <c r="E1038" s="282" t="s">
        <v>2065</v>
      </c>
      <c r="F1038" s="282" t="s">
        <v>1278</v>
      </c>
      <c r="G1038" s="284" t="s">
        <v>52</v>
      </c>
      <c r="H1038" s="283" t="s">
        <v>4211</v>
      </c>
      <c r="I1038" s="283" t="s">
        <v>2067</v>
      </c>
      <c r="J1038" s="779">
        <v>0.63</v>
      </c>
      <c r="K1038" s="780"/>
    </row>
    <row r="1039" spans="1:11" ht="21.95" customHeight="1" x14ac:dyDescent="0.2">
      <c r="A1039" s="282" t="s">
        <v>1276</v>
      </c>
      <c r="B1039" s="282"/>
      <c r="C1039" s="283" t="s">
        <v>4212</v>
      </c>
      <c r="D1039" s="282" t="s">
        <v>1250</v>
      </c>
      <c r="E1039" s="282" t="s">
        <v>4213</v>
      </c>
      <c r="F1039" s="282" t="s">
        <v>1278</v>
      </c>
      <c r="G1039" s="284" t="s">
        <v>52</v>
      </c>
      <c r="H1039" s="283" t="s">
        <v>1262</v>
      </c>
      <c r="I1039" s="283" t="s">
        <v>4214</v>
      </c>
      <c r="J1039" s="779">
        <v>5.47</v>
      </c>
      <c r="K1039" s="780"/>
    </row>
    <row r="1040" spans="1:11" ht="21.95" customHeight="1" thickBot="1" x14ac:dyDescent="0.25">
      <c r="A1040" s="282" t="s">
        <v>1276</v>
      </c>
      <c r="B1040" s="282"/>
      <c r="C1040" s="283" t="s">
        <v>2070</v>
      </c>
      <c r="D1040" s="282" t="s">
        <v>1250</v>
      </c>
      <c r="E1040" s="282" t="s">
        <v>2071</v>
      </c>
      <c r="F1040" s="282" t="s">
        <v>1278</v>
      </c>
      <c r="G1040" s="284" t="s">
        <v>52</v>
      </c>
      <c r="H1040" s="283" t="s">
        <v>1443</v>
      </c>
      <c r="I1040" s="283" t="s">
        <v>2072</v>
      </c>
      <c r="J1040" s="770">
        <v>0.78</v>
      </c>
      <c r="K1040" s="771"/>
    </row>
    <row r="1041" spans="1:11" ht="0.95" customHeight="1" thickTop="1" x14ac:dyDescent="0.2">
      <c r="A1041" s="281"/>
      <c r="B1041" s="281"/>
      <c r="C1041" s="281"/>
      <c r="D1041" s="281"/>
      <c r="E1041" s="281"/>
      <c r="F1041" s="281"/>
      <c r="G1041" s="281"/>
      <c r="H1041" s="281"/>
      <c r="I1041" s="281"/>
      <c r="J1041" s="421"/>
      <c r="K1041" s="421"/>
    </row>
    <row r="1042" spans="1:11" ht="18" customHeight="1" x14ac:dyDescent="0.2">
      <c r="A1042" s="272"/>
      <c r="B1042" s="272" t="s">
        <v>54</v>
      </c>
      <c r="C1042" s="273" t="s">
        <v>1239</v>
      </c>
      <c r="D1042" s="272" t="s">
        <v>1240</v>
      </c>
      <c r="E1042" s="272" t="s">
        <v>1241</v>
      </c>
      <c r="F1042" s="272" t="s">
        <v>1242</v>
      </c>
      <c r="G1042" s="274" t="s">
        <v>60</v>
      </c>
      <c r="H1042" s="273" t="s">
        <v>58</v>
      </c>
      <c r="I1042" s="273" t="s">
        <v>1243</v>
      </c>
      <c r="J1042" s="775" t="s">
        <v>196</v>
      </c>
      <c r="K1042" s="776"/>
    </row>
    <row r="1043" spans="1:11" ht="21.95" customHeight="1" x14ac:dyDescent="0.2">
      <c r="A1043" s="275" t="s">
        <v>1244</v>
      </c>
      <c r="B1043" s="275" t="s">
        <v>4215</v>
      </c>
      <c r="C1043" s="276" t="s">
        <v>2062</v>
      </c>
      <c r="D1043" s="275" t="s">
        <v>1246</v>
      </c>
      <c r="E1043" s="275" t="s">
        <v>646</v>
      </c>
      <c r="F1043" s="275" t="s">
        <v>1750</v>
      </c>
      <c r="G1043" s="277" t="s">
        <v>52</v>
      </c>
      <c r="H1043" s="276">
        <v>1</v>
      </c>
      <c r="I1043" s="276" t="s">
        <v>2063</v>
      </c>
      <c r="J1043" s="777" t="s">
        <v>2063</v>
      </c>
      <c r="K1043" s="778"/>
    </row>
    <row r="1044" spans="1:11" ht="21.95" customHeight="1" x14ac:dyDescent="0.2">
      <c r="A1044" s="278" t="s">
        <v>1248</v>
      </c>
      <c r="B1044" s="278"/>
      <c r="C1044" s="279" t="s">
        <v>1273</v>
      </c>
      <c r="D1044" s="278" t="s">
        <v>1250</v>
      </c>
      <c r="E1044" s="278" t="s">
        <v>1274</v>
      </c>
      <c r="F1044" s="278" t="s">
        <v>1252</v>
      </c>
      <c r="G1044" s="280" t="s">
        <v>1253</v>
      </c>
      <c r="H1044" s="279" t="s">
        <v>1888</v>
      </c>
      <c r="I1044" s="279" t="s">
        <v>1275</v>
      </c>
      <c r="J1044" s="781">
        <v>2.63</v>
      </c>
      <c r="K1044" s="782"/>
    </row>
    <row r="1045" spans="1:11" ht="21.95" customHeight="1" x14ac:dyDescent="0.2">
      <c r="A1045" s="278" t="s">
        <v>1248</v>
      </c>
      <c r="B1045" s="278"/>
      <c r="C1045" s="279" t="s">
        <v>1292</v>
      </c>
      <c r="D1045" s="278" t="s">
        <v>1250</v>
      </c>
      <c r="E1045" s="278" t="s">
        <v>1293</v>
      </c>
      <c r="F1045" s="278" t="s">
        <v>1252</v>
      </c>
      <c r="G1045" s="280" t="s">
        <v>1253</v>
      </c>
      <c r="H1045" s="279" t="s">
        <v>1888</v>
      </c>
      <c r="I1045" s="279" t="s">
        <v>1295</v>
      </c>
      <c r="J1045" s="781">
        <v>3.32</v>
      </c>
      <c r="K1045" s="782"/>
    </row>
    <row r="1046" spans="1:11" ht="21.95" customHeight="1" x14ac:dyDescent="0.2">
      <c r="A1046" s="282" t="s">
        <v>1276</v>
      </c>
      <c r="B1046" s="282"/>
      <c r="C1046" s="283" t="s">
        <v>2064</v>
      </c>
      <c r="D1046" s="282" t="s">
        <v>1250</v>
      </c>
      <c r="E1046" s="282" t="s">
        <v>2065</v>
      </c>
      <c r="F1046" s="282" t="s">
        <v>1278</v>
      </c>
      <c r="G1046" s="284" t="s">
        <v>52</v>
      </c>
      <c r="H1046" s="283" t="s">
        <v>2066</v>
      </c>
      <c r="I1046" s="283" t="s">
        <v>2067</v>
      </c>
      <c r="J1046" s="779">
        <v>1.67</v>
      </c>
      <c r="K1046" s="780"/>
    </row>
    <row r="1047" spans="1:11" ht="21.95" customHeight="1" x14ac:dyDescent="0.2">
      <c r="A1047" s="282" t="s">
        <v>1276</v>
      </c>
      <c r="B1047" s="282"/>
      <c r="C1047" s="283" t="s">
        <v>2068</v>
      </c>
      <c r="D1047" s="282" t="s">
        <v>1250</v>
      </c>
      <c r="E1047" s="282" t="s">
        <v>2069</v>
      </c>
      <c r="F1047" s="282" t="s">
        <v>1278</v>
      </c>
      <c r="G1047" s="284" t="s">
        <v>52</v>
      </c>
      <c r="H1047" s="283" t="s">
        <v>1262</v>
      </c>
      <c r="I1047" s="283" t="s">
        <v>1342</v>
      </c>
      <c r="J1047" s="779">
        <v>10.91</v>
      </c>
      <c r="K1047" s="780"/>
    </row>
    <row r="1048" spans="1:11" ht="21.95" customHeight="1" thickBot="1" x14ac:dyDescent="0.25">
      <c r="A1048" s="282" t="s">
        <v>1276</v>
      </c>
      <c r="B1048" s="282"/>
      <c r="C1048" s="283" t="s">
        <v>2070</v>
      </c>
      <c r="D1048" s="282" t="s">
        <v>1250</v>
      </c>
      <c r="E1048" s="282" t="s">
        <v>2071</v>
      </c>
      <c r="F1048" s="282" t="s">
        <v>1278</v>
      </c>
      <c r="G1048" s="284" t="s">
        <v>52</v>
      </c>
      <c r="H1048" s="283" t="s">
        <v>1930</v>
      </c>
      <c r="I1048" s="283" t="s">
        <v>2072</v>
      </c>
      <c r="J1048" s="770">
        <v>2.19</v>
      </c>
      <c r="K1048" s="771"/>
    </row>
    <row r="1049" spans="1:11" ht="0.95" customHeight="1" thickTop="1" x14ac:dyDescent="0.2">
      <c r="A1049" s="281"/>
      <c r="B1049" s="281"/>
      <c r="C1049" s="281"/>
      <c r="D1049" s="281"/>
      <c r="E1049" s="281"/>
      <c r="F1049" s="281"/>
      <c r="G1049" s="281"/>
      <c r="H1049" s="281"/>
      <c r="I1049" s="281"/>
      <c r="J1049" s="421"/>
      <c r="K1049" s="421"/>
    </row>
    <row r="1050" spans="1:11" ht="18" customHeight="1" x14ac:dyDescent="0.2">
      <c r="A1050" s="272"/>
      <c r="B1050" s="272" t="s">
        <v>54</v>
      </c>
      <c r="C1050" s="273" t="s">
        <v>1239</v>
      </c>
      <c r="D1050" s="272" t="s">
        <v>1240</v>
      </c>
      <c r="E1050" s="272" t="s">
        <v>1241</v>
      </c>
      <c r="F1050" s="272" t="s">
        <v>1242</v>
      </c>
      <c r="G1050" s="274" t="s">
        <v>60</v>
      </c>
      <c r="H1050" s="273" t="s">
        <v>58</v>
      </c>
      <c r="I1050" s="273" t="s">
        <v>1243</v>
      </c>
      <c r="J1050" s="775" t="s">
        <v>196</v>
      </c>
      <c r="K1050" s="776"/>
    </row>
    <row r="1051" spans="1:11" ht="21.95" customHeight="1" x14ac:dyDescent="0.2">
      <c r="A1051" s="275" t="s">
        <v>1244</v>
      </c>
      <c r="B1051" s="275" t="s">
        <v>4216</v>
      </c>
      <c r="C1051" s="276" t="s">
        <v>2073</v>
      </c>
      <c r="D1051" s="275" t="s">
        <v>1246</v>
      </c>
      <c r="E1051" s="275" t="s">
        <v>648</v>
      </c>
      <c r="F1051" s="275" t="s">
        <v>1750</v>
      </c>
      <c r="G1051" s="277" t="s">
        <v>52</v>
      </c>
      <c r="H1051" s="276">
        <v>1</v>
      </c>
      <c r="I1051" s="276" t="s">
        <v>2074</v>
      </c>
      <c r="J1051" s="777" t="s">
        <v>2074</v>
      </c>
      <c r="K1051" s="778"/>
    </row>
    <row r="1052" spans="1:11" ht="21.95" customHeight="1" x14ac:dyDescent="0.2">
      <c r="A1052" s="278" t="s">
        <v>1248</v>
      </c>
      <c r="B1052" s="278"/>
      <c r="C1052" s="279" t="s">
        <v>1292</v>
      </c>
      <c r="D1052" s="278" t="s">
        <v>1250</v>
      </c>
      <c r="E1052" s="278" t="s">
        <v>1293</v>
      </c>
      <c r="F1052" s="278" t="s">
        <v>1252</v>
      </c>
      <c r="G1052" s="280" t="s">
        <v>1253</v>
      </c>
      <c r="H1052" s="279" t="s">
        <v>2075</v>
      </c>
      <c r="I1052" s="279" t="s">
        <v>1295</v>
      </c>
      <c r="J1052" s="781">
        <v>4.1900000000000004</v>
      </c>
      <c r="K1052" s="782"/>
    </row>
    <row r="1053" spans="1:11" ht="21.95" customHeight="1" x14ac:dyDescent="0.2">
      <c r="A1053" s="278" t="s">
        <v>1248</v>
      </c>
      <c r="B1053" s="278"/>
      <c r="C1053" s="279" t="s">
        <v>1273</v>
      </c>
      <c r="D1053" s="278" t="s">
        <v>1250</v>
      </c>
      <c r="E1053" s="278" t="s">
        <v>1274</v>
      </c>
      <c r="F1053" s="278" t="s">
        <v>1252</v>
      </c>
      <c r="G1053" s="280" t="s">
        <v>1253</v>
      </c>
      <c r="H1053" s="279" t="s">
        <v>2075</v>
      </c>
      <c r="I1053" s="279" t="s">
        <v>1275</v>
      </c>
      <c r="J1053" s="781">
        <v>3.33</v>
      </c>
      <c r="K1053" s="782"/>
    </row>
    <row r="1054" spans="1:11" ht="21.95" customHeight="1" x14ac:dyDescent="0.2">
      <c r="A1054" s="282" t="s">
        <v>1276</v>
      </c>
      <c r="B1054" s="282"/>
      <c r="C1054" s="283" t="s">
        <v>2064</v>
      </c>
      <c r="D1054" s="282" t="s">
        <v>1250</v>
      </c>
      <c r="E1054" s="282" t="s">
        <v>2065</v>
      </c>
      <c r="F1054" s="282" t="s">
        <v>1278</v>
      </c>
      <c r="G1054" s="284" t="s">
        <v>52</v>
      </c>
      <c r="H1054" s="283" t="s">
        <v>1450</v>
      </c>
      <c r="I1054" s="283" t="s">
        <v>2067</v>
      </c>
      <c r="J1054" s="779">
        <v>0.13</v>
      </c>
      <c r="K1054" s="780"/>
    </row>
    <row r="1055" spans="1:11" ht="21.95" customHeight="1" x14ac:dyDescent="0.2">
      <c r="A1055" s="282" t="s">
        <v>1276</v>
      </c>
      <c r="B1055" s="282"/>
      <c r="C1055" s="283" t="s">
        <v>2076</v>
      </c>
      <c r="D1055" s="282" t="s">
        <v>1250</v>
      </c>
      <c r="E1055" s="282" t="s">
        <v>2077</v>
      </c>
      <c r="F1055" s="282" t="s">
        <v>1278</v>
      </c>
      <c r="G1055" s="284" t="s">
        <v>52</v>
      </c>
      <c r="H1055" s="283" t="s">
        <v>1262</v>
      </c>
      <c r="I1055" s="283" t="s">
        <v>2078</v>
      </c>
      <c r="J1055" s="779">
        <v>3.7</v>
      </c>
      <c r="K1055" s="780"/>
    </row>
    <row r="1056" spans="1:11" ht="21.95" customHeight="1" thickBot="1" x14ac:dyDescent="0.25">
      <c r="A1056" s="282" t="s">
        <v>1276</v>
      </c>
      <c r="B1056" s="282"/>
      <c r="C1056" s="283" t="s">
        <v>2070</v>
      </c>
      <c r="D1056" s="282" t="s">
        <v>1250</v>
      </c>
      <c r="E1056" s="282" t="s">
        <v>2071</v>
      </c>
      <c r="F1056" s="282" t="s">
        <v>1278</v>
      </c>
      <c r="G1056" s="284" t="s">
        <v>52</v>
      </c>
      <c r="H1056" s="283" t="s">
        <v>2079</v>
      </c>
      <c r="I1056" s="283" t="s">
        <v>2072</v>
      </c>
      <c r="J1056" s="770">
        <v>1.8</v>
      </c>
      <c r="K1056" s="771"/>
    </row>
    <row r="1057" spans="1:11" ht="0.95" customHeight="1" thickTop="1" x14ac:dyDescent="0.2">
      <c r="A1057" s="281"/>
      <c r="B1057" s="281"/>
      <c r="C1057" s="281"/>
      <c r="D1057" s="281"/>
      <c r="E1057" s="281"/>
      <c r="F1057" s="281"/>
      <c r="G1057" s="281"/>
      <c r="H1057" s="281"/>
      <c r="I1057" s="281"/>
      <c r="J1057" s="421"/>
      <c r="K1057" s="421"/>
    </row>
    <row r="1058" spans="1:11" ht="18" customHeight="1" x14ac:dyDescent="0.2">
      <c r="A1058" s="272"/>
      <c r="B1058" s="272" t="s">
        <v>54</v>
      </c>
      <c r="C1058" s="273" t="s">
        <v>1239</v>
      </c>
      <c r="D1058" s="272" t="s">
        <v>1240</v>
      </c>
      <c r="E1058" s="272" t="s">
        <v>1241</v>
      </c>
      <c r="F1058" s="272" t="s">
        <v>1242</v>
      </c>
      <c r="G1058" s="274" t="s">
        <v>60</v>
      </c>
      <c r="H1058" s="273" t="s">
        <v>58</v>
      </c>
      <c r="I1058" s="273" t="s">
        <v>1243</v>
      </c>
      <c r="J1058" s="775" t="s">
        <v>196</v>
      </c>
      <c r="K1058" s="776"/>
    </row>
    <row r="1059" spans="1:11" ht="21.95" customHeight="1" x14ac:dyDescent="0.2">
      <c r="A1059" s="275" t="s">
        <v>1244</v>
      </c>
      <c r="B1059" s="275" t="s">
        <v>4217</v>
      </c>
      <c r="C1059" s="276" t="s">
        <v>2080</v>
      </c>
      <c r="D1059" s="275" t="s">
        <v>1246</v>
      </c>
      <c r="E1059" s="275" t="s">
        <v>650</v>
      </c>
      <c r="F1059" s="275" t="s">
        <v>1750</v>
      </c>
      <c r="G1059" s="277" t="s">
        <v>52</v>
      </c>
      <c r="H1059" s="276">
        <v>1</v>
      </c>
      <c r="I1059" s="276" t="s">
        <v>2081</v>
      </c>
      <c r="J1059" s="777" t="s">
        <v>2081</v>
      </c>
      <c r="K1059" s="778"/>
    </row>
    <row r="1060" spans="1:11" ht="21.95" customHeight="1" x14ac:dyDescent="0.2">
      <c r="A1060" s="278" t="s">
        <v>1248</v>
      </c>
      <c r="B1060" s="278"/>
      <c r="C1060" s="279" t="s">
        <v>1292</v>
      </c>
      <c r="D1060" s="278" t="s">
        <v>1250</v>
      </c>
      <c r="E1060" s="278" t="s">
        <v>1293</v>
      </c>
      <c r="F1060" s="278" t="s">
        <v>1252</v>
      </c>
      <c r="G1060" s="280" t="s">
        <v>1253</v>
      </c>
      <c r="H1060" s="279" t="s">
        <v>1341</v>
      </c>
      <c r="I1060" s="279" t="s">
        <v>1295</v>
      </c>
      <c r="J1060" s="781">
        <v>4.37</v>
      </c>
      <c r="K1060" s="782"/>
    </row>
    <row r="1061" spans="1:11" ht="21.95" customHeight="1" x14ac:dyDescent="0.2">
      <c r="A1061" s="278" t="s">
        <v>1248</v>
      </c>
      <c r="B1061" s="278"/>
      <c r="C1061" s="279" t="s">
        <v>1273</v>
      </c>
      <c r="D1061" s="278" t="s">
        <v>1250</v>
      </c>
      <c r="E1061" s="278" t="s">
        <v>1274</v>
      </c>
      <c r="F1061" s="278" t="s">
        <v>1252</v>
      </c>
      <c r="G1061" s="280" t="s">
        <v>1253</v>
      </c>
      <c r="H1061" s="279" t="s">
        <v>1341</v>
      </c>
      <c r="I1061" s="279" t="s">
        <v>1275</v>
      </c>
      <c r="J1061" s="781">
        <v>3.47</v>
      </c>
      <c r="K1061" s="782"/>
    </row>
    <row r="1062" spans="1:11" ht="21.95" customHeight="1" x14ac:dyDescent="0.2">
      <c r="A1062" s="282" t="s">
        <v>1276</v>
      </c>
      <c r="B1062" s="282"/>
      <c r="C1062" s="283" t="s">
        <v>2064</v>
      </c>
      <c r="D1062" s="282" t="s">
        <v>1250</v>
      </c>
      <c r="E1062" s="282" t="s">
        <v>2065</v>
      </c>
      <c r="F1062" s="282" t="s">
        <v>1278</v>
      </c>
      <c r="G1062" s="284" t="s">
        <v>52</v>
      </c>
      <c r="H1062" s="283" t="s">
        <v>2082</v>
      </c>
      <c r="I1062" s="283" t="s">
        <v>2067</v>
      </c>
      <c r="J1062" s="779">
        <v>0.18</v>
      </c>
      <c r="K1062" s="780"/>
    </row>
    <row r="1063" spans="1:11" ht="21.95" customHeight="1" x14ac:dyDescent="0.2">
      <c r="A1063" s="282" t="s">
        <v>1276</v>
      </c>
      <c r="B1063" s="282"/>
      <c r="C1063" s="283" t="s">
        <v>2083</v>
      </c>
      <c r="D1063" s="282" t="s">
        <v>1250</v>
      </c>
      <c r="E1063" s="282" t="s">
        <v>2084</v>
      </c>
      <c r="F1063" s="282" t="s">
        <v>1278</v>
      </c>
      <c r="G1063" s="284" t="s">
        <v>52</v>
      </c>
      <c r="H1063" s="283" t="s">
        <v>1262</v>
      </c>
      <c r="I1063" s="283" t="s">
        <v>2085</v>
      </c>
      <c r="J1063" s="779">
        <v>6.93</v>
      </c>
      <c r="K1063" s="780"/>
    </row>
    <row r="1064" spans="1:11" ht="21.95" customHeight="1" thickBot="1" x14ac:dyDescent="0.25">
      <c r="A1064" s="282" t="s">
        <v>1276</v>
      </c>
      <c r="B1064" s="282"/>
      <c r="C1064" s="283" t="s">
        <v>2070</v>
      </c>
      <c r="D1064" s="282" t="s">
        <v>1250</v>
      </c>
      <c r="E1064" s="282" t="s">
        <v>2071</v>
      </c>
      <c r="F1064" s="282" t="s">
        <v>1278</v>
      </c>
      <c r="G1064" s="284" t="s">
        <v>52</v>
      </c>
      <c r="H1064" s="283" t="s">
        <v>1519</v>
      </c>
      <c r="I1064" s="283" t="s">
        <v>2072</v>
      </c>
      <c r="J1064" s="770">
        <v>2.39</v>
      </c>
      <c r="K1064" s="771"/>
    </row>
    <row r="1065" spans="1:11" ht="0.95" customHeight="1" thickTop="1" x14ac:dyDescent="0.2">
      <c r="A1065" s="281"/>
      <c r="B1065" s="281"/>
      <c r="C1065" s="281"/>
      <c r="D1065" s="281"/>
      <c r="E1065" s="281"/>
      <c r="F1065" s="281"/>
      <c r="G1065" s="281"/>
      <c r="H1065" s="281"/>
      <c r="I1065" s="281"/>
      <c r="J1065" s="421"/>
      <c r="K1065" s="421"/>
    </row>
    <row r="1066" spans="1:11" ht="18" customHeight="1" x14ac:dyDescent="0.2">
      <c r="A1066" s="272"/>
      <c r="B1066" s="272" t="s">
        <v>54</v>
      </c>
      <c r="C1066" s="273" t="s">
        <v>1239</v>
      </c>
      <c r="D1066" s="272" t="s">
        <v>1240</v>
      </c>
      <c r="E1066" s="272" t="s">
        <v>1241</v>
      </c>
      <c r="F1066" s="272" t="s">
        <v>1242</v>
      </c>
      <c r="G1066" s="274" t="s">
        <v>60</v>
      </c>
      <c r="H1066" s="273" t="s">
        <v>58</v>
      </c>
      <c r="I1066" s="273" t="s">
        <v>1243</v>
      </c>
      <c r="J1066" s="775" t="s">
        <v>196</v>
      </c>
      <c r="K1066" s="776"/>
    </row>
    <row r="1067" spans="1:11" ht="33" customHeight="1" x14ac:dyDescent="0.2">
      <c r="A1067" s="275" t="s">
        <v>1244</v>
      </c>
      <c r="B1067" s="275" t="s">
        <v>4218</v>
      </c>
      <c r="C1067" s="276" t="s">
        <v>2086</v>
      </c>
      <c r="D1067" s="275" t="s">
        <v>1246</v>
      </c>
      <c r="E1067" s="275" t="s">
        <v>651</v>
      </c>
      <c r="F1067" s="275" t="s">
        <v>1750</v>
      </c>
      <c r="G1067" s="277" t="s">
        <v>52</v>
      </c>
      <c r="H1067" s="276">
        <v>1</v>
      </c>
      <c r="I1067" s="276" t="s">
        <v>2087</v>
      </c>
      <c r="J1067" s="777" t="s">
        <v>2087</v>
      </c>
      <c r="K1067" s="778"/>
    </row>
    <row r="1068" spans="1:11" ht="21.95" customHeight="1" x14ac:dyDescent="0.2">
      <c r="A1068" s="278" t="s">
        <v>1248</v>
      </c>
      <c r="B1068" s="278"/>
      <c r="C1068" s="279" t="s">
        <v>1273</v>
      </c>
      <c r="D1068" s="278" t="s">
        <v>1250</v>
      </c>
      <c r="E1068" s="278" t="s">
        <v>1274</v>
      </c>
      <c r="F1068" s="278" t="s">
        <v>1252</v>
      </c>
      <c r="G1068" s="280" t="s">
        <v>1253</v>
      </c>
      <c r="H1068" s="279" t="s">
        <v>1327</v>
      </c>
      <c r="I1068" s="279" t="s">
        <v>1275</v>
      </c>
      <c r="J1068" s="781">
        <v>4.3</v>
      </c>
      <c r="K1068" s="782"/>
    </row>
    <row r="1069" spans="1:11" ht="21.95" customHeight="1" x14ac:dyDescent="0.2">
      <c r="A1069" s="278" t="s">
        <v>1248</v>
      </c>
      <c r="B1069" s="278"/>
      <c r="C1069" s="279" t="s">
        <v>1292</v>
      </c>
      <c r="D1069" s="278" t="s">
        <v>1250</v>
      </c>
      <c r="E1069" s="278" t="s">
        <v>1293</v>
      </c>
      <c r="F1069" s="278" t="s">
        <v>1252</v>
      </c>
      <c r="G1069" s="280" t="s">
        <v>1253</v>
      </c>
      <c r="H1069" s="279" t="s">
        <v>1327</v>
      </c>
      <c r="I1069" s="279" t="s">
        <v>1295</v>
      </c>
      <c r="J1069" s="781">
        <v>5.42</v>
      </c>
      <c r="K1069" s="782"/>
    </row>
    <row r="1070" spans="1:11" ht="21.95" customHeight="1" x14ac:dyDescent="0.2">
      <c r="A1070" s="282" t="s">
        <v>1276</v>
      </c>
      <c r="B1070" s="282"/>
      <c r="C1070" s="283" t="s">
        <v>2064</v>
      </c>
      <c r="D1070" s="282" t="s">
        <v>1250</v>
      </c>
      <c r="E1070" s="282" t="s">
        <v>2065</v>
      </c>
      <c r="F1070" s="282" t="s">
        <v>1278</v>
      </c>
      <c r="G1070" s="284" t="s">
        <v>52</v>
      </c>
      <c r="H1070" s="283" t="s">
        <v>2088</v>
      </c>
      <c r="I1070" s="283" t="s">
        <v>2067</v>
      </c>
      <c r="J1070" s="779">
        <v>0.31</v>
      </c>
      <c r="K1070" s="780"/>
    </row>
    <row r="1071" spans="1:11" ht="21.95" customHeight="1" x14ac:dyDescent="0.2">
      <c r="A1071" s="282" t="s">
        <v>1276</v>
      </c>
      <c r="B1071" s="282"/>
      <c r="C1071" s="283" t="s">
        <v>2070</v>
      </c>
      <c r="D1071" s="282" t="s">
        <v>1250</v>
      </c>
      <c r="E1071" s="282" t="s">
        <v>2071</v>
      </c>
      <c r="F1071" s="282" t="s">
        <v>1278</v>
      </c>
      <c r="G1071" s="284" t="s">
        <v>52</v>
      </c>
      <c r="H1071" s="283" t="s">
        <v>2089</v>
      </c>
      <c r="I1071" s="283" t="s">
        <v>2072</v>
      </c>
      <c r="J1071" s="779">
        <v>3.05</v>
      </c>
      <c r="K1071" s="780"/>
    </row>
    <row r="1072" spans="1:11" ht="21.95" customHeight="1" thickBot="1" x14ac:dyDescent="0.25">
      <c r="A1072" s="282" t="s">
        <v>1276</v>
      </c>
      <c r="B1072" s="282"/>
      <c r="C1072" s="283" t="s">
        <v>2090</v>
      </c>
      <c r="D1072" s="282" t="s">
        <v>1250</v>
      </c>
      <c r="E1072" s="282" t="s">
        <v>2091</v>
      </c>
      <c r="F1072" s="282" t="s">
        <v>1278</v>
      </c>
      <c r="G1072" s="284" t="s">
        <v>52</v>
      </c>
      <c r="H1072" s="283" t="s">
        <v>1262</v>
      </c>
      <c r="I1072" s="283" t="s">
        <v>2092</v>
      </c>
      <c r="J1072" s="770">
        <v>12.28</v>
      </c>
      <c r="K1072" s="771"/>
    </row>
    <row r="1073" spans="1:11" ht="0.95" customHeight="1" thickTop="1" x14ac:dyDescent="0.2">
      <c r="A1073" s="281"/>
      <c r="B1073" s="281"/>
      <c r="C1073" s="281"/>
      <c r="D1073" s="281"/>
      <c r="E1073" s="281"/>
      <c r="F1073" s="281"/>
      <c r="G1073" s="281"/>
      <c r="H1073" s="281"/>
      <c r="I1073" s="281"/>
      <c r="J1073" s="421"/>
      <c r="K1073" s="421"/>
    </row>
    <row r="1074" spans="1:11" ht="18" customHeight="1" x14ac:dyDescent="0.2">
      <c r="A1074" s="272"/>
      <c r="B1074" s="272" t="s">
        <v>54</v>
      </c>
      <c r="C1074" s="273" t="s">
        <v>1239</v>
      </c>
      <c r="D1074" s="272" t="s">
        <v>1240</v>
      </c>
      <c r="E1074" s="272" t="s">
        <v>1241</v>
      </c>
      <c r="F1074" s="272" t="s">
        <v>1242</v>
      </c>
      <c r="G1074" s="274" t="s">
        <v>60</v>
      </c>
      <c r="H1074" s="273" t="s">
        <v>58</v>
      </c>
      <c r="I1074" s="273" t="s">
        <v>1243</v>
      </c>
      <c r="J1074" s="775" t="s">
        <v>196</v>
      </c>
      <c r="K1074" s="776"/>
    </row>
    <row r="1075" spans="1:11" ht="21.95" customHeight="1" x14ac:dyDescent="0.2">
      <c r="A1075" s="275" t="s">
        <v>1244</v>
      </c>
      <c r="B1075" s="275" t="s">
        <v>4219</v>
      </c>
      <c r="C1075" s="276" t="s">
        <v>4220</v>
      </c>
      <c r="D1075" s="275" t="s">
        <v>1246</v>
      </c>
      <c r="E1075" s="275" t="s">
        <v>3763</v>
      </c>
      <c r="F1075" s="275" t="s">
        <v>1750</v>
      </c>
      <c r="G1075" s="277" t="s">
        <v>52</v>
      </c>
      <c r="H1075" s="276">
        <v>1</v>
      </c>
      <c r="I1075" s="276" t="s">
        <v>4221</v>
      </c>
      <c r="J1075" s="777" t="s">
        <v>4221</v>
      </c>
      <c r="K1075" s="778"/>
    </row>
    <row r="1076" spans="1:11" ht="21.95" customHeight="1" x14ac:dyDescent="0.2">
      <c r="A1076" s="278" t="s">
        <v>1248</v>
      </c>
      <c r="B1076" s="278"/>
      <c r="C1076" s="279" t="s">
        <v>1273</v>
      </c>
      <c r="D1076" s="278" t="s">
        <v>1250</v>
      </c>
      <c r="E1076" s="278" t="s">
        <v>1274</v>
      </c>
      <c r="F1076" s="278" t="s">
        <v>1252</v>
      </c>
      <c r="G1076" s="280" t="s">
        <v>1253</v>
      </c>
      <c r="H1076" s="279" t="s">
        <v>1631</v>
      </c>
      <c r="I1076" s="279" t="s">
        <v>1275</v>
      </c>
      <c r="J1076" s="781">
        <v>4.58</v>
      </c>
      <c r="K1076" s="782"/>
    </row>
    <row r="1077" spans="1:11" ht="21.95" customHeight="1" x14ac:dyDescent="0.2">
      <c r="A1077" s="278" t="s">
        <v>1248</v>
      </c>
      <c r="B1077" s="278"/>
      <c r="C1077" s="279" t="s">
        <v>1292</v>
      </c>
      <c r="D1077" s="278" t="s">
        <v>1250</v>
      </c>
      <c r="E1077" s="278" t="s">
        <v>1293</v>
      </c>
      <c r="F1077" s="278" t="s">
        <v>1252</v>
      </c>
      <c r="G1077" s="280" t="s">
        <v>1253</v>
      </c>
      <c r="H1077" s="279" t="s">
        <v>1631</v>
      </c>
      <c r="I1077" s="279" t="s">
        <v>1295</v>
      </c>
      <c r="J1077" s="781">
        <v>5.77</v>
      </c>
      <c r="K1077" s="782"/>
    </row>
    <row r="1078" spans="1:11" ht="21.95" customHeight="1" x14ac:dyDescent="0.2">
      <c r="A1078" s="282" t="s">
        <v>1276</v>
      </c>
      <c r="B1078" s="282"/>
      <c r="C1078" s="283" t="s">
        <v>2064</v>
      </c>
      <c r="D1078" s="282" t="s">
        <v>1250</v>
      </c>
      <c r="E1078" s="282" t="s">
        <v>2065</v>
      </c>
      <c r="F1078" s="282" t="s">
        <v>1278</v>
      </c>
      <c r="G1078" s="284" t="s">
        <v>52</v>
      </c>
      <c r="H1078" s="283" t="s">
        <v>1483</v>
      </c>
      <c r="I1078" s="283" t="s">
        <v>2067</v>
      </c>
      <c r="J1078" s="779">
        <v>0.45</v>
      </c>
      <c r="K1078" s="780"/>
    </row>
    <row r="1079" spans="1:11" ht="21.95" customHeight="1" x14ac:dyDescent="0.2">
      <c r="A1079" s="282" t="s">
        <v>1276</v>
      </c>
      <c r="B1079" s="282"/>
      <c r="C1079" s="283" t="s">
        <v>2070</v>
      </c>
      <c r="D1079" s="282" t="s">
        <v>1250</v>
      </c>
      <c r="E1079" s="282" t="s">
        <v>2071</v>
      </c>
      <c r="F1079" s="282" t="s">
        <v>1278</v>
      </c>
      <c r="G1079" s="284" t="s">
        <v>52</v>
      </c>
      <c r="H1079" s="283" t="s">
        <v>4222</v>
      </c>
      <c r="I1079" s="283" t="s">
        <v>2072</v>
      </c>
      <c r="J1079" s="779">
        <v>3.01</v>
      </c>
      <c r="K1079" s="780"/>
    </row>
    <row r="1080" spans="1:11" ht="21.95" customHeight="1" thickBot="1" x14ac:dyDescent="0.25">
      <c r="A1080" s="282" t="s">
        <v>1276</v>
      </c>
      <c r="B1080" s="282"/>
      <c r="C1080" s="283" t="s">
        <v>4223</v>
      </c>
      <c r="D1080" s="282" t="s">
        <v>1250</v>
      </c>
      <c r="E1080" s="282" t="s">
        <v>4224</v>
      </c>
      <c r="F1080" s="282" t="s">
        <v>1278</v>
      </c>
      <c r="G1080" s="284" t="s">
        <v>52</v>
      </c>
      <c r="H1080" s="283" t="s">
        <v>1262</v>
      </c>
      <c r="I1080" s="283" t="s">
        <v>4225</v>
      </c>
      <c r="J1080" s="770">
        <v>16.78</v>
      </c>
      <c r="K1080" s="771"/>
    </row>
    <row r="1081" spans="1:11" ht="0.95" customHeight="1" thickTop="1" x14ac:dyDescent="0.2">
      <c r="A1081" s="281"/>
      <c r="B1081" s="281"/>
      <c r="C1081" s="281"/>
      <c r="D1081" s="281"/>
      <c r="E1081" s="281"/>
      <c r="F1081" s="281"/>
      <c r="G1081" s="281"/>
      <c r="H1081" s="281"/>
      <c r="I1081" s="281"/>
      <c r="J1081" s="421"/>
      <c r="K1081" s="421"/>
    </row>
    <row r="1082" spans="1:11" ht="18" customHeight="1" x14ac:dyDescent="0.2">
      <c r="A1082" s="272"/>
      <c r="B1082" s="272" t="s">
        <v>54</v>
      </c>
      <c r="C1082" s="273" t="s">
        <v>1239</v>
      </c>
      <c r="D1082" s="272" t="s">
        <v>1240</v>
      </c>
      <c r="E1082" s="272" t="s">
        <v>1241</v>
      </c>
      <c r="F1082" s="272" t="s">
        <v>1242</v>
      </c>
      <c r="G1082" s="274" t="s">
        <v>60</v>
      </c>
      <c r="H1082" s="273" t="s">
        <v>58</v>
      </c>
      <c r="I1082" s="273" t="s">
        <v>1243</v>
      </c>
      <c r="J1082" s="775" t="s">
        <v>196</v>
      </c>
      <c r="K1082" s="776"/>
    </row>
    <row r="1083" spans="1:11" ht="21.95" customHeight="1" x14ac:dyDescent="0.2">
      <c r="A1083" s="275" t="s">
        <v>1244</v>
      </c>
      <c r="B1083" s="275" t="s">
        <v>4226</v>
      </c>
      <c r="C1083" s="276" t="s">
        <v>4227</v>
      </c>
      <c r="D1083" s="275" t="s">
        <v>1246</v>
      </c>
      <c r="E1083" s="275" t="s">
        <v>3765</v>
      </c>
      <c r="F1083" s="275" t="s">
        <v>1750</v>
      </c>
      <c r="G1083" s="277" t="s">
        <v>52</v>
      </c>
      <c r="H1083" s="276">
        <v>1</v>
      </c>
      <c r="I1083" s="276" t="s">
        <v>4228</v>
      </c>
      <c r="J1083" s="777" t="s">
        <v>4228</v>
      </c>
      <c r="K1083" s="778"/>
    </row>
    <row r="1084" spans="1:11" ht="21.95" customHeight="1" x14ac:dyDescent="0.2">
      <c r="A1084" s="278" t="s">
        <v>1248</v>
      </c>
      <c r="B1084" s="278"/>
      <c r="C1084" s="279" t="s">
        <v>1288</v>
      </c>
      <c r="D1084" s="278" t="s">
        <v>1250</v>
      </c>
      <c r="E1084" s="278" t="s">
        <v>1289</v>
      </c>
      <c r="F1084" s="278" t="s">
        <v>1252</v>
      </c>
      <c r="G1084" s="280" t="s">
        <v>1253</v>
      </c>
      <c r="H1084" s="279" t="s">
        <v>4200</v>
      </c>
      <c r="I1084" s="279" t="s">
        <v>1291</v>
      </c>
      <c r="J1084" s="781">
        <v>0.64</v>
      </c>
      <c r="K1084" s="782"/>
    </row>
    <row r="1085" spans="1:11" ht="21.95" customHeight="1" x14ac:dyDescent="0.2">
      <c r="A1085" s="278" t="s">
        <v>1248</v>
      </c>
      <c r="B1085" s="278"/>
      <c r="C1085" s="279" t="s">
        <v>1292</v>
      </c>
      <c r="D1085" s="278" t="s">
        <v>1250</v>
      </c>
      <c r="E1085" s="278" t="s">
        <v>1293</v>
      </c>
      <c r="F1085" s="278" t="s">
        <v>1252</v>
      </c>
      <c r="G1085" s="280" t="s">
        <v>1253</v>
      </c>
      <c r="H1085" s="279" t="s">
        <v>4200</v>
      </c>
      <c r="I1085" s="279" t="s">
        <v>1295</v>
      </c>
      <c r="J1085" s="781">
        <v>0.78</v>
      </c>
      <c r="K1085" s="782"/>
    </row>
    <row r="1086" spans="1:11" ht="21.95" customHeight="1" x14ac:dyDescent="0.2">
      <c r="A1086" s="282" t="s">
        <v>1276</v>
      </c>
      <c r="B1086" s="282"/>
      <c r="C1086" s="283" t="s">
        <v>2064</v>
      </c>
      <c r="D1086" s="282" t="s">
        <v>1250</v>
      </c>
      <c r="E1086" s="282" t="s">
        <v>2065</v>
      </c>
      <c r="F1086" s="282" t="s">
        <v>1278</v>
      </c>
      <c r="G1086" s="284" t="s">
        <v>52</v>
      </c>
      <c r="H1086" s="283" t="s">
        <v>1464</v>
      </c>
      <c r="I1086" s="283" t="s">
        <v>2067</v>
      </c>
      <c r="J1086" s="779">
        <v>0.11</v>
      </c>
      <c r="K1086" s="780"/>
    </row>
    <row r="1087" spans="1:11" ht="21.95" customHeight="1" x14ac:dyDescent="0.2">
      <c r="A1087" s="282" t="s">
        <v>1276</v>
      </c>
      <c r="B1087" s="282"/>
      <c r="C1087" s="283" t="s">
        <v>2070</v>
      </c>
      <c r="D1087" s="282" t="s">
        <v>1250</v>
      </c>
      <c r="E1087" s="282" t="s">
        <v>2071</v>
      </c>
      <c r="F1087" s="282" t="s">
        <v>1278</v>
      </c>
      <c r="G1087" s="284" t="s">
        <v>52</v>
      </c>
      <c r="H1087" s="283" t="s">
        <v>2082</v>
      </c>
      <c r="I1087" s="283" t="s">
        <v>2072</v>
      </c>
      <c r="J1087" s="779">
        <v>0.15</v>
      </c>
      <c r="K1087" s="780"/>
    </row>
    <row r="1088" spans="1:11" ht="21.95" customHeight="1" thickBot="1" x14ac:dyDescent="0.25">
      <c r="A1088" s="282" t="s">
        <v>1276</v>
      </c>
      <c r="B1088" s="282"/>
      <c r="C1088" s="283" t="s">
        <v>4229</v>
      </c>
      <c r="D1088" s="282" t="s">
        <v>1250</v>
      </c>
      <c r="E1088" s="282" t="s">
        <v>3765</v>
      </c>
      <c r="F1088" s="282" t="s">
        <v>1278</v>
      </c>
      <c r="G1088" s="284" t="s">
        <v>52</v>
      </c>
      <c r="H1088" s="283" t="s">
        <v>1262</v>
      </c>
      <c r="I1088" s="283" t="s">
        <v>1396</v>
      </c>
      <c r="J1088" s="770">
        <v>0.95</v>
      </c>
      <c r="K1088" s="771"/>
    </row>
    <row r="1089" spans="1:11" ht="0.95" customHeight="1" thickTop="1" x14ac:dyDescent="0.2">
      <c r="A1089" s="281"/>
      <c r="B1089" s="281"/>
      <c r="C1089" s="281"/>
      <c r="D1089" s="281"/>
      <c r="E1089" s="281"/>
      <c r="F1089" s="281"/>
      <c r="G1089" s="281"/>
      <c r="H1089" s="281"/>
      <c r="I1089" s="281"/>
      <c r="J1089" s="421"/>
      <c r="K1089" s="421"/>
    </row>
    <row r="1090" spans="1:11" ht="18" customHeight="1" x14ac:dyDescent="0.2">
      <c r="A1090" s="272"/>
      <c r="B1090" s="272" t="s">
        <v>54</v>
      </c>
      <c r="C1090" s="273" t="s">
        <v>1239</v>
      </c>
      <c r="D1090" s="272" t="s">
        <v>1240</v>
      </c>
      <c r="E1090" s="272" t="s">
        <v>1241</v>
      </c>
      <c r="F1090" s="272" t="s">
        <v>1242</v>
      </c>
      <c r="G1090" s="274" t="s">
        <v>60</v>
      </c>
      <c r="H1090" s="273" t="s">
        <v>58</v>
      </c>
      <c r="I1090" s="273" t="s">
        <v>1243</v>
      </c>
      <c r="J1090" s="775" t="s">
        <v>196</v>
      </c>
      <c r="K1090" s="776"/>
    </row>
    <row r="1091" spans="1:11" ht="21.95" customHeight="1" x14ac:dyDescent="0.2">
      <c r="A1091" s="275" t="s">
        <v>1244</v>
      </c>
      <c r="B1091" s="275" t="s">
        <v>4230</v>
      </c>
      <c r="C1091" s="276" t="s">
        <v>4231</v>
      </c>
      <c r="D1091" s="275" t="s">
        <v>1246</v>
      </c>
      <c r="E1091" s="275" t="s">
        <v>3784</v>
      </c>
      <c r="F1091" s="275" t="s">
        <v>4232</v>
      </c>
      <c r="G1091" s="277" t="s">
        <v>52</v>
      </c>
      <c r="H1091" s="276">
        <v>1</v>
      </c>
      <c r="I1091" s="276" t="s">
        <v>4233</v>
      </c>
      <c r="J1091" s="777" t="s">
        <v>4233</v>
      </c>
      <c r="K1091" s="778"/>
    </row>
    <row r="1092" spans="1:11" ht="21.95" customHeight="1" x14ac:dyDescent="0.2">
      <c r="A1092" s="278" t="s">
        <v>1248</v>
      </c>
      <c r="B1092" s="278"/>
      <c r="C1092" s="279" t="s">
        <v>1273</v>
      </c>
      <c r="D1092" s="278" t="s">
        <v>1250</v>
      </c>
      <c r="E1092" s="278" t="s">
        <v>1274</v>
      </c>
      <c r="F1092" s="278" t="s">
        <v>1252</v>
      </c>
      <c r="G1092" s="280" t="s">
        <v>1253</v>
      </c>
      <c r="H1092" s="279" t="s">
        <v>1356</v>
      </c>
      <c r="I1092" s="279" t="s">
        <v>1275</v>
      </c>
      <c r="J1092" s="781">
        <v>4.16</v>
      </c>
      <c r="K1092" s="782"/>
    </row>
    <row r="1093" spans="1:11" ht="21.95" customHeight="1" x14ac:dyDescent="0.2">
      <c r="A1093" s="278" t="s">
        <v>1248</v>
      </c>
      <c r="B1093" s="278"/>
      <c r="C1093" s="279" t="s">
        <v>1292</v>
      </c>
      <c r="D1093" s="278" t="s">
        <v>1250</v>
      </c>
      <c r="E1093" s="278" t="s">
        <v>1293</v>
      </c>
      <c r="F1093" s="278" t="s">
        <v>1252</v>
      </c>
      <c r="G1093" s="280" t="s">
        <v>1253</v>
      </c>
      <c r="H1093" s="279" t="s">
        <v>1356</v>
      </c>
      <c r="I1093" s="279" t="s">
        <v>1295</v>
      </c>
      <c r="J1093" s="781">
        <v>5.24</v>
      </c>
      <c r="K1093" s="782"/>
    </row>
    <row r="1094" spans="1:11" ht="21.95" customHeight="1" x14ac:dyDescent="0.2">
      <c r="A1094" s="282" t="s">
        <v>1276</v>
      </c>
      <c r="B1094" s="282"/>
      <c r="C1094" s="283" t="s">
        <v>2064</v>
      </c>
      <c r="D1094" s="282" t="s">
        <v>1250</v>
      </c>
      <c r="E1094" s="282" t="s">
        <v>2065</v>
      </c>
      <c r="F1094" s="282" t="s">
        <v>1278</v>
      </c>
      <c r="G1094" s="284" t="s">
        <v>52</v>
      </c>
      <c r="H1094" s="283" t="s">
        <v>4234</v>
      </c>
      <c r="I1094" s="283" t="s">
        <v>2067</v>
      </c>
      <c r="J1094" s="779">
        <v>0.85</v>
      </c>
      <c r="K1094" s="780"/>
    </row>
    <row r="1095" spans="1:11" ht="21.95" customHeight="1" x14ac:dyDescent="0.2">
      <c r="A1095" s="282" t="s">
        <v>1276</v>
      </c>
      <c r="B1095" s="282"/>
      <c r="C1095" s="283" t="s">
        <v>4235</v>
      </c>
      <c r="D1095" s="282" t="s">
        <v>1250</v>
      </c>
      <c r="E1095" s="282" t="s">
        <v>4236</v>
      </c>
      <c r="F1095" s="282" t="s">
        <v>1278</v>
      </c>
      <c r="G1095" s="284" t="s">
        <v>52</v>
      </c>
      <c r="H1095" s="283" t="s">
        <v>1262</v>
      </c>
      <c r="I1095" s="283" t="s">
        <v>4237</v>
      </c>
      <c r="J1095" s="779">
        <v>7</v>
      </c>
      <c r="K1095" s="780"/>
    </row>
    <row r="1096" spans="1:11" ht="21.95" customHeight="1" thickBot="1" x14ac:dyDescent="0.25">
      <c r="A1096" s="282" t="s">
        <v>1276</v>
      </c>
      <c r="B1096" s="282"/>
      <c r="C1096" s="283" t="s">
        <v>2070</v>
      </c>
      <c r="D1096" s="282" t="s">
        <v>1250</v>
      </c>
      <c r="E1096" s="282" t="s">
        <v>2071</v>
      </c>
      <c r="F1096" s="282" t="s">
        <v>1278</v>
      </c>
      <c r="G1096" s="284" t="s">
        <v>52</v>
      </c>
      <c r="H1096" s="283" t="s">
        <v>1548</v>
      </c>
      <c r="I1096" s="283" t="s">
        <v>2072</v>
      </c>
      <c r="J1096" s="770">
        <v>1.0900000000000001</v>
      </c>
      <c r="K1096" s="771"/>
    </row>
    <row r="1097" spans="1:11" ht="0.95" customHeight="1" thickTop="1" x14ac:dyDescent="0.2">
      <c r="A1097" s="281"/>
      <c r="B1097" s="281"/>
      <c r="C1097" s="281"/>
      <c r="D1097" s="281"/>
      <c r="E1097" s="281"/>
      <c r="F1097" s="281"/>
      <c r="G1097" s="281"/>
      <c r="H1097" s="281"/>
      <c r="I1097" s="281"/>
      <c r="J1097" s="421"/>
      <c r="K1097" s="421"/>
    </row>
    <row r="1098" spans="1:11" ht="18" customHeight="1" x14ac:dyDescent="0.2">
      <c r="A1098" s="272"/>
      <c r="B1098" s="272" t="s">
        <v>54</v>
      </c>
      <c r="C1098" s="273" t="s">
        <v>1239</v>
      </c>
      <c r="D1098" s="272" t="s">
        <v>1240</v>
      </c>
      <c r="E1098" s="272" t="s">
        <v>1241</v>
      </c>
      <c r="F1098" s="272" t="s">
        <v>1242</v>
      </c>
      <c r="G1098" s="274" t="s">
        <v>60</v>
      </c>
      <c r="H1098" s="273" t="s">
        <v>58</v>
      </c>
      <c r="I1098" s="273" t="s">
        <v>1243</v>
      </c>
      <c r="J1098" s="775" t="s">
        <v>196</v>
      </c>
      <c r="K1098" s="776"/>
    </row>
    <row r="1099" spans="1:11" ht="33" customHeight="1" x14ac:dyDescent="0.2">
      <c r="A1099" s="275" t="s">
        <v>1244</v>
      </c>
      <c r="B1099" s="275" t="s">
        <v>4238</v>
      </c>
      <c r="C1099" s="276" t="s">
        <v>4239</v>
      </c>
      <c r="D1099" s="275" t="s">
        <v>1246</v>
      </c>
      <c r="E1099" s="275" t="s">
        <v>3786</v>
      </c>
      <c r="F1099" s="275" t="s">
        <v>1750</v>
      </c>
      <c r="G1099" s="277" t="s">
        <v>52</v>
      </c>
      <c r="H1099" s="276">
        <v>1</v>
      </c>
      <c r="I1099" s="276" t="s">
        <v>4240</v>
      </c>
      <c r="J1099" s="777" t="s">
        <v>4240</v>
      </c>
      <c r="K1099" s="778"/>
    </row>
    <row r="1100" spans="1:11" ht="44.1" customHeight="1" x14ac:dyDescent="0.2">
      <c r="A1100" s="278" t="s">
        <v>1248</v>
      </c>
      <c r="B1100" s="278"/>
      <c r="C1100" s="279" t="s">
        <v>4241</v>
      </c>
      <c r="D1100" s="278" t="s">
        <v>1250</v>
      </c>
      <c r="E1100" s="278" t="s">
        <v>4242</v>
      </c>
      <c r="F1100" s="278" t="s">
        <v>1481</v>
      </c>
      <c r="G1100" s="280" t="s">
        <v>1253</v>
      </c>
      <c r="H1100" s="279" t="s">
        <v>4243</v>
      </c>
      <c r="I1100" s="279" t="s">
        <v>4244</v>
      </c>
      <c r="J1100" s="781">
        <v>0.04</v>
      </c>
      <c r="K1100" s="782"/>
    </row>
    <row r="1101" spans="1:11" ht="21.95" customHeight="1" x14ac:dyDescent="0.2">
      <c r="A1101" s="278" t="s">
        <v>1248</v>
      </c>
      <c r="B1101" s="278"/>
      <c r="C1101" s="279" t="s">
        <v>1288</v>
      </c>
      <c r="D1101" s="278" t="s">
        <v>1250</v>
      </c>
      <c r="E1101" s="278" t="s">
        <v>1289</v>
      </c>
      <c r="F1101" s="278" t="s">
        <v>1252</v>
      </c>
      <c r="G1101" s="280" t="s">
        <v>1253</v>
      </c>
      <c r="H1101" s="279" t="s">
        <v>4243</v>
      </c>
      <c r="I1101" s="279" t="s">
        <v>1291</v>
      </c>
      <c r="J1101" s="781">
        <v>2.98</v>
      </c>
      <c r="K1101" s="782"/>
    </row>
    <row r="1102" spans="1:11" ht="21.95" customHeight="1" x14ac:dyDescent="0.2">
      <c r="A1102" s="282" t="s">
        <v>1276</v>
      </c>
      <c r="B1102" s="282"/>
      <c r="C1102" s="283" t="s">
        <v>4245</v>
      </c>
      <c r="D1102" s="282" t="s">
        <v>1250</v>
      </c>
      <c r="E1102" s="282" t="s">
        <v>4246</v>
      </c>
      <c r="F1102" s="282" t="s">
        <v>1278</v>
      </c>
      <c r="G1102" s="284" t="s">
        <v>52</v>
      </c>
      <c r="H1102" s="283" t="s">
        <v>1262</v>
      </c>
      <c r="I1102" s="283" t="s">
        <v>4247</v>
      </c>
      <c r="J1102" s="779">
        <v>32.65</v>
      </c>
      <c r="K1102" s="780"/>
    </row>
    <row r="1103" spans="1:11" ht="21.95" customHeight="1" x14ac:dyDescent="0.2">
      <c r="A1103" s="282" t="s">
        <v>1276</v>
      </c>
      <c r="B1103" s="282"/>
      <c r="C1103" s="283" t="s">
        <v>2064</v>
      </c>
      <c r="D1103" s="282" t="s">
        <v>1250</v>
      </c>
      <c r="E1103" s="282" t="s">
        <v>2065</v>
      </c>
      <c r="F1103" s="282" t="s">
        <v>1278</v>
      </c>
      <c r="G1103" s="284" t="s">
        <v>52</v>
      </c>
      <c r="H1103" s="283" t="s">
        <v>1430</v>
      </c>
      <c r="I1103" s="283" t="s">
        <v>2067</v>
      </c>
      <c r="J1103" s="779">
        <v>2.7</v>
      </c>
      <c r="K1103" s="780"/>
    </row>
    <row r="1104" spans="1:11" ht="21.95" customHeight="1" x14ac:dyDescent="0.2">
      <c r="A1104" s="282" t="s">
        <v>1276</v>
      </c>
      <c r="B1104" s="282"/>
      <c r="C1104" s="283" t="s">
        <v>2101</v>
      </c>
      <c r="D1104" s="282" t="s">
        <v>1250</v>
      </c>
      <c r="E1104" s="282" t="s">
        <v>2102</v>
      </c>
      <c r="F1104" s="282" t="s">
        <v>1278</v>
      </c>
      <c r="G1104" s="284" t="s">
        <v>52</v>
      </c>
      <c r="H1104" s="283" t="s">
        <v>4248</v>
      </c>
      <c r="I1104" s="283" t="s">
        <v>2104</v>
      </c>
      <c r="J1104" s="779">
        <v>7.0000000000000007E-2</v>
      </c>
      <c r="K1104" s="780"/>
    </row>
    <row r="1105" spans="1:11" ht="21.95" customHeight="1" thickBot="1" x14ac:dyDescent="0.25">
      <c r="A1105" s="282" t="s">
        <v>1276</v>
      </c>
      <c r="B1105" s="282"/>
      <c r="C1105" s="283" t="s">
        <v>2070</v>
      </c>
      <c r="D1105" s="282" t="s">
        <v>1250</v>
      </c>
      <c r="E1105" s="282" t="s">
        <v>2071</v>
      </c>
      <c r="F1105" s="282" t="s">
        <v>1278</v>
      </c>
      <c r="G1105" s="284" t="s">
        <v>52</v>
      </c>
      <c r="H1105" s="283" t="s">
        <v>2089</v>
      </c>
      <c r="I1105" s="283" t="s">
        <v>2072</v>
      </c>
      <c r="J1105" s="770">
        <v>3.05</v>
      </c>
      <c r="K1105" s="771"/>
    </row>
    <row r="1106" spans="1:11" ht="0.95" customHeight="1" thickTop="1" x14ac:dyDescent="0.2">
      <c r="A1106" s="281"/>
      <c r="B1106" s="281"/>
      <c r="C1106" s="281"/>
      <c r="D1106" s="281"/>
      <c r="E1106" s="281"/>
      <c r="F1106" s="281"/>
      <c r="G1106" s="281"/>
      <c r="H1106" s="281"/>
      <c r="I1106" s="281"/>
      <c r="J1106" s="421"/>
      <c r="K1106" s="421"/>
    </row>
    <row r="1107" spans="1:11" ht="18" customHeight="1" x14ac:dyDescent="0.2">
      <c r="A1107" s="272"/>
      <c r="B1107" s="272" t="s">
        <v>54</v>
      </c>
      <c r="C1107" s="273" t="s">
        <v>1239</v>
      </c>
      <c r="D1107" s="272" t="s">
        <v>1240</v>
      </c>
      <c r="E1107" s="272" t="s">
        <v>1241</v>
      </c>
      <c r="F1107" s="272" t="s">
        <v>1242</v>
      </c>
      <c r="G1107" s="274" t="s">
        <v>60</v>
      </c>
      <c r="H1107" s="273" t="s">
        <v>58</v>
      </c>
      <c r="I1107" s="273" t="s">
        <v>1243</v>
      </c>
      <c r="J1107" s="775" t="s">
        <v>196</v>
      </c>
      <c r="K1107" s="776"/>
    </row>
    <row r="1108" spans="1:11" ht="21.95" customHeight="1" x14ac:dyDescent="0.2">
      <c r="A1108" s="275" t="s">
        <v>1244</v>
      </c>
      <c r="B1108" s="275" t="s">
        <v>4249</v>
      </c>
      <c r="C1108" s="276" t="s">
        <v>2093</v>
      </c>
      <c r="D1108" s="275" t="s">
        <v>1246</v>
      </c>
      <c r="E1108" s="275" t="s">
        <v>656</v>
      </c>
      <c r="F1108" s="275" t="s">
        <v>1750</v>
      </c>
      <c r="G1108" s="277" t="s">
        <v>52</v>
      </c>
      <c r="H1108" s="276">
        <v>1</v>
      </c>
      <c r="I1108" s="276" t="s">
        <v>2094</v>
      </c>
      <c r="J1108" s="777" t="s">
        <v>2094</v>
      </c>
      <c r="K1108" s="778"/>
    </row>
    <row r="1109" spans="1:11" ht="21.95" customHeight="1" x14ac:dyDescent="0.2">
      <c r="A1109" s="278" t="s">
        <v>1248</v>
      </c>
      <c r="B1109" s="278"/>
      <c r="C1109" s="279" t="s">
        <v>1288</v>
      </c>
      <c r="D1109" s="278" t="s">
        <v>1250</v>
      </c>
      <c r="E1109" s="278" t="s">
        <v>1289</v>
      </c>
      <c r="F1109" s="278" t="s">
        <v>1252</v>
      </c>
      <c r="G1109" s="280" t="s">
        <v>1253</v>
      </c>
      <c r="H1109" s="279" t="s">
        <v>2095</v>
      </c>
      <c r="I1109" s="279" t="s">
        <v>1291</v>
      </c>
      <c r="J1109" s="781">
        <v>2.0499999999999998</v>
      </c>
      <c r="K1109" s="782"/>
    </row>
    <row r="1110" spans="1:11" ht="21.95" customHeight="1" x14ac:dyDescent="0.2">
      <c r="A1110" s="278" t="s">
        <v>1248</v>
      </c>
      <c r="B1110" s="278"/>
      <c r="C1110" s="279" t="s">
        <v>1292</v>
      </c>
      <c r="D1110" s="278" t="s">
        <v>1250</v>
      </c>
      <c r="E1110" s="278" t="s">
        <v>1293</v>
      </c>
      <c r="F1110" s="278" t="s">
        <v>1252</v>
      </c>
      <c r="G1110" s="280" t="s">
        <v>1253</v>
      </c>
      <c r="H1110" s="279" t="s">
        <v>2095</v>
      </c>
      <c r="I1110" s="279" t="s">
        <v>1295</v>
      </c>
      <c r="J1110" s="781">
        <v>2.5099999999999998</v>
      </c>
      <c r="K1110" s="782"/>
    </row>
    <row r="1111" spans="1:11" ht="21.95" customHeight="1" x14ac:dyDescent="0.2">
      <c r="A1111" s="282" t="s">
        <v>1276</v>
      </c>
      <c r="B1111" s="282"/>
      <c r="C1111" s="283" t="s">
        <v>2064</v>
      </c>
      <c r="D1111" s="282" t="s">
        <v>1250</v>
      </c>
      <c r="E1111" s="282" t="s">
        <v>2065</v>
      </c>
      <c r="F1111" s="282" t="s">
        <v>1278</v>
      </c>
      <c r="G1111" s="284" t="s">
        <v>52</v>
      </c>
      <c r="H1111" s="283" t="s">
        <v>2096</v>
      </c>
      <c r="I1111" s="283" t="s">
        <v>2067</v>
      </c>
      <c r="J1111" s="779">
        <v>1.17</v>
      </c>
      <c r="K1111" s="780"/>
    </row>
    <row r="1112" spans="1:11" ht="21.95" customHeight="1" x14ac:dyDescent="0.2">
      <c r="A1112" s="282" t="s">
        <v>1276</v>
      </c>
      <c r="B1112" s="282"/>
      <c r="C1112" s="283" t="s">
        <v>2097</v>
      </c>
      <c r="D1112" s="282" t="s">
        <v>1250</v>
      </c>
      <c r="E1112" s="282" t="s">
        <v>2098</v>
      </c>
      <c r="F1112" s="282" t="s">
        <v>1278</v>
      </c>
      <c r="G1112" s="284" t="s">
        <v>52</v>
      </c>
      <c r="H1112" s="283" t="s">
        <v>1262</v>
      </c>
      <c r="I1112" s="283" t="s">
        <v>2099</v>
      </c>
      <c r="J1112" s="779">
        <v>51.82</v>
      </c>
      <c r="K1112" s="780"/>
    </row>
    <row r="1113" spans="1:11" ht="21.95" customHeight="1" x14ac:dyDescent="0.2">
      <c r="A1113" s="282" t="s">
        <v>1276</v>
      </c>
      <c r="B1113" s="282"/>
      <c r="C1113" s="283" t="s">
        <v>2070</v>
      </c>
      <c r="D1113" s="282" t="s">
        <v>1250</v>
      </c>
      <c r="E1113" s="282" t="s">
        <v>2071</v>
      </c>
      <c r="F1113" s="282" t="s">
        <v>1278</v>
      </c>
      <c r="G1113" s="284" t="s">
        <v>52</v>
      </c>
      <c r="H1113" s="283" t="s">
        <v>2100</v>
      </c>
      <c r="I1113" s="283" t="s">
        <v>2072</v>
      </c>
      <c r="J1113" s="779">
        <v>1.29</v>
      </c>
      <c r="K1113" s="780"/>
    </row>
    <row r="1114" spans="1:11" ht="21.95" customHeight="1" thickBot="1" x14ac:dyDescent="0.25">
      <c r="A1114" s="282" t="s">
        <v>1276</v>
      </c>
      <c r="B1114" s="282"/>
      <c r="C1114" s="283" t="s">
        <v>2101</v>
      </c>
      <c r="D1114" s="282" t="s">
        <v>1250</v>
      </c>
      <c r="E1114" s="282" t="s">
        <v>2102</v>
      </c>
      <c r="F1114" s="282" t="s">
        <v>1278</v>
      </c>
      <c r="G1114" s="284" t="s">
        <v>52</v>
      </c>
      <c r="H1114" s="283" t="s">
        <v>2103</v>
      </c>
      <c r="I1114" s="283" t="s">
        <v>2104</v>
      </c>
      <c r="J1114" s="770">
        <v>0.05</v>
      </c>
      <c r="K1114" s="771"/>
    </row>
    <row r="1115" spans="1:11" ht="0.95" customHeight="1" thickTop="1" x14ac:dyDescent="0.2">
      <c r="A1115" s="281"/>
      <c r="B1115" s="281"/>
      <c r="C1115" s="281"/>
      <c r="D1115" s="281"/>
      <c r="E1115" s="281"/>
      <c r="F1115" s="281"/>
      <c r="G1115" s="281"/>
      <c r="H1115" s="281"/>
      <c r="I1115" s="281"/>
      <c r="J1115" s="421"/>
      <c r="K1115" s="421"/>
    </row>
    <row r="1116" spans="1:11" ht="18" customHeight="1" x14ac:dyDescent="0.2">
      <c r="A1116" s="272"/>
      <c r="B1116" s="272" t="s">
        <v>54</v>
      </c>
      <c r="C1116" s="273" t="s">
        <v>1239</v>
      </c>
      <c r="D1116" s="272" t="s">
        <v>1240</v>
      </c>
      <c r="E1116" s="272" t="s">
        <v>1241</v>
      </c>
      <c r="F1116" s="272" t="s">
        <v>1242</v>
      </c>
      <c r="G1116" s="274" t="s">
        <v>60</v>
      </c>
      <c r="H1116" s="273" t="s">
        <v>58</v>
      </c>
      <c r="I1116" s="273" t="s">
        <v>1243</v>
      </c>
      <c r="J1116" s="775" t="s">
        <v>196</v>
      </c>
      <c r="K1116" s="776"/>
    </row>
    <row r="1117" spans="1:11" ht="33" customHeight="1" x14ac:dyDescent="0.2">
      <c r="A1117" s="275" t="s">
        <v>1244</v>
      </c>
      <c r="B1117" s="275" t="s">
        <v>4250</v>
      </c>
      <c r="C1117" s="276" t="s">
        <v>4251</v>
      </c>
      <c r="D1117" s="275" t="s">
        <v>1246</v>
      </c>
      <c r="E1117" s="275" t="s">
        <v>1081</v>
      </c>
      <c r="F1117" s="275" t="s">
        <v>1750</v>
      </c>
      <c r="G1117" s="277" t="s">
        <v>52</v>
      </c>
      <c r="H1117" s="276">
        <v>1</v>
      </c>
      <c r="I1117" s="276" t="s">
        <v>2259</v>
      </c>
      <c r="J1117" s="777" t="s">
        <v>2259</v>
      </c>
      <c r="K1117" s="778"/>
    </row>
    <row r="1118" spans="1:11" ht="21.95" customHeight="1" x14ac:dyDescent="0.2">
      <c r="A1118" s="278" t="s">
        <v>1248</v>
      </c>
      <c r="B1118" s="278"/>
      <c r="C1118" s="279" t="s">
        <v>1273</v>
      </c>
      <c r="D1118" s="278" t="s">
        <v>1250</v>
      </c>
      <c r="E1118" s="278" t="s">
        <v>1274</v>
      </c>
      <c r="F1118" s="278" t="s">
        <v>1252</v>
      </c>
      <c r="G1118" s="280" t="s">
        <v>1253</v>
      </c>
      <c r="H1118" s="279" t="s">
        <v>4244</v>
      </c>
      <c r="I1118" s="279" t="s">
        <v>1275</v>
      </c>
      <c r="J1118" s="781">
        <v>3.05</v>
      </c>
      <c r="K1118" s="782"/>
    </row>
    <row r="1119" spans="1:11" ht="21.95" customHeight="1" x14ac:dyDescent="0.2">
      <c r="A1119" s="278" t="s">
        <v>1248</v>
      </c>
      <c r="B1119" s="278"/>
      <c r="C1119" s="279" t="s">
        <v>1292</v>
      </c>
      <c r="D1119" s="278" t="s">
        <v>1250</v>
      </c>
      <c r="E1119" s="278" t="s">
        <v>1293</v>
      </c>
      <c r="F1119" s="278" t="s">
        <v>1252</v>
      </c>
      <c r="G1119" s="280" t="s">
        <v>1253</v>
      </c>
      <c r="H1119" s="279" t="s">
        <v>4244</v>
      </c>
      <c r="I1119" s="279" t="s">
        <v>1295</v>
      </c>
      <c r="J1119" s="781">
        <v>3.84</v>
      </c>
      <c r="K1119" s="782"/>
    </row>
    <row r="1120" spans="1:11" ht="21.95" customHeight="1" x14ac:dyDescent="0.2">
      <c r="A1120" s="282" t="s">
        <v>1276</v>
      </c>
      <c r="B1120" s="282"/>
      <c r="C1120" s="283" t="s">
        <v>2407</v>
      </c>
      <c r="D1120" s="282" t="s">
        <v>1250</v>
      </c>
      <c r="E1120" s="282" t="s">
        <v>2408</v>
      </c>
      <c r="F1120" s="282" t="s">
        <v>1278</v>
      </c>
      <c r="G1120" s="284" t="s">
        <v>52</v>
      </c>
      <c r="H1120" s="283" t="s">
        <v>4252</v>
      </c>
      <c r="I1120" s="283" t="s">
        <v>2409</v>
      </c>
      <c r="J1120" s="779">
        <v>0.12</v>
      </c>
      <c r="K1120" s="780"/>
    </row>
    <row r="1121" spans="1:11" ht="21.95" customHeight="1" thickBot="1" x14ac:dyDescent="0.25">
      <c r="A1121" s="282" t="s">
        <v>1276</v>
      </c>
      <c r="B1121" s="282"/>
      <c r="C1121" s="283" t="s">
        <v>4253</v>
      </c>
      <c r="D1121" s="282" t="s">
        <v>1250</v>
      </c>
      <c r="E1121" s="282" t="s">
        <v>4254</v>
      </c>
      <c r="F1121" s="282" t="s">
        <v>1278</v>
      </c>
      <c r="G1121" s="284" t="s">
        <v>52</v>
      </c>
      <c r="H1121" s="283" t="s">
        <v>1262</v>
      </c>
      <c r="I1121" s="283" t="s">
        <v>2370</v>
      </c>
      <c r="J1121" s="770">
        <v>4.47</v>
      </c>
      <c r="K1121" s="771"/>
    </row>
    <row r="1122" spans="1:11" ht="0.95" customHeight="1" thickTop="1" x14ac:dyDescent="0.2">
      <c r="A1122" s="281"/>
      <c r="B1122" s="281"/>
      <c r="C1122" s="281"/>
      <c r="D1122" s="281"/>
      <c r="E1122" s="281"/>
      <c r="F1122" s="281"/>
      <c r="G1122" s="281"/>
      <c r="H1122" s="281"/>
      <c r="I1122" s="281"/>
      <c r="J1122" s="421"/>
      <c r="K1122" s="421"/>
    </row>
    <row r="1123" spans="1:11" ht="18" customHeight="1" x14ac:dyDescent="0.2">
      <c r="A1123" s="272"/>
      <c r="B1123" s="272" t="s">
        <v>54</v>
      </c>
      <c r="C1123" s="273" t="s">
        <v>1239</v>
      </c>
      <c r="D1123" s="272" t="s">
        <v>1240</v>
      </c>
      <c r="E1123" s="272" t="s">
        <v>1241</v>
      </c>
      <c r="F1123" s="272" t="s">
        <v>1242</v>
      </c>
      <c r="G1123" s="274" t="s">
        <v>60</v>
      </c>
      <c r="H1123" s="273" t="s">
        <v>58</v>
      </c>
      <c r="I1123" s="273" t="s">
        <v>1243</v>
      </c>
      <c r="J1123" s="775" t="s">
        <v>196</v>
      </c>
      <c r="K1123" s="776"/>
    </row>
    <row r="1124" spans="1:11" ht="33" customHeight="1" x14ac:dyDescent="0.2">
      <c r="A1124" s="275" t="s">
        <v>1244</v>
      </c>
      <c r="B1124" s="275" t="s">
        <v>4255</v>
      </c>
      <c r="C1124" s="276" t="s">
        <v>2105</v>
      </c>
      <c r="D1124" s="275" t="s">
        <v>1246</v>
      </c>
      <c r="E1124" s="275" t="s">
        <v>658</v>
      </c>
      <c r="F1124" s="275" t="s">
        <v>1364</v>
      </c>
      <c r="G1124" s="277" t="s">
        <v>659</v>
      </c>
      <c r="H1124" s="276">
        <v>1</v>
      </c>
      <c r="I1124" s="276" t="s">
        <v>2106</v>
      </c>
      <c r="J1124" s="777" t="s">
        <v>2106</v>
      </c>
      <c r="K1124" s="778"/>
    </row>
    <row r="1125" spans="1:11" ht="66" customHeight="1" x14ac:dyDescent="0.2">
      <c r="A1125" s="278" t="s">
        <v>1248</v>
      </c>
      <c r="B1125" s="278"/>
      <c r="C1125" s="279" t="s">
        <v>2107</v>
      </c>
      <c r="D1125" s="278" t="s">
        <v>1250</v>
      </c>
      <c r="E1125" s="278" t="s">
        <v>2108</v>
      </c>
      <c r="F1125" s="278" t="s">
        <v>1385</v>
      </c>
      <c r="G1125" s="280" t="s">
        <v>153</v>
      </c>
      <c r="H1125" s="279" t="s">
        <v>2109</v>
      </c>
      <c r="I1125" s="279" t="s">
        <v>2110</v>
      </c>
      <c r="J1125" s="781">
        <v>220.97</v>
      </c>
      <c r="K1125" s="782"/>
    </row>
    <row r="1126" spans="1:11" ht="21.95" customHeight="1" x14ac:dyDescent="0.2">
      <c r="A1126" s="278" t="s">
        <v>1248</v>
      </c>
      <c r="B1126" s="278"/>
      <c r="C1126" s="279" t="s">
        <v>2111</v>
      </c>
      <c r="D1126" s="278" t="s">
        <v>1250</v>
      </c>
      <c r="E1126" s="278" t="s">
        <v>246</v>
      </c>
      <c r="F1126" s="278" t="s">
        <v>1385</v>
      </c>
      <c r="G1126" s="280" t="s">
        <v>153</v>
      </c>
      <c r="H1126" s="279" t="s">
        <v>2112</v>
      </c>
      <c r="I1126" s="279" t="s">
        <v>2113</v>
      </c>
      <c r="J1126" s="781">
        <v>2436.02</v>
      </c>
      <c r="K1126" s="782"/>
    </row>
    <row r="1127" spans="1:11" ht="21.95" customHeight="1" x14ac:dyDescent="0.2">
      <c r="A1127" s="278" t="s">
        <v>1248</v>
      </c>
      <c r="B1127" s="278"/>
      <c r="C1127" s="279" t="s">
        <v>2114</v>
      </c>
      <c r="D1127" s="278" t="s">
        <v>1250</v>
      </c>
      <c r="E1127" s="278" t="s">
        <v>2115</v>
      </c>
      <c r="F1127" s="278" t="s">
        <v>1385</v>
      </c>
      <c r="G1127" s="280" t="s">
        <v>153</v>
      </c>
      <c r="H1127" s="279" t="s">
        <v>2116</v>
      </c>
      <c r="I1127" s="279" t="s">
        <v>2117</v>
      </c>
      <c r="J1127" s="781">
        <v>1336</v>
      </c>
      <c r="K1127" s="782"/>
    </row>
    <row r="1128" spans="1:11" ht="21.95" customHeight="1" x14ac:dyDescent="0.2">
      <c r="A1128" s="278" t="s">
        <v>1248</v>
      </c>
      <c r="B1128" s="278"/>
      <c r="C1128" s="279" t="s">
        <v>2118</v>
      </c>
      <c r="D1128" s="278" t="s">
        <v>1250</v>
      </c>
      <c r="E1128" s="278" t="s">
        <v>247</v>
      </c>
      <c r="F1128" s="278" t="s">
        <v>1385</v>
      </c>
      <c r="G1128" s="280" t="s">
        <v>484</v>
      </c>
      <c r="H1128" s="279" t="s">
        <v>2119</v>
      </c>
      <c r="I1128" s="279" t="s">
        <v>2120</v>
      </c>
      <c r="J1128" s="781">
        <v>1036.4100000000001</v>
      </c>
      <c r="K1128" s="782"/>
    </row>
    <row r="1129" spans="1:11" ht="33" customHeight="1" x14ac:dyDescent="0.2">
      <c r="A1129" s="278" t="s">
        <v>1248</v>
      </c>
      <c r="B1129" s="278"/>
      <c r="C1129" s="279" t="s">
        <v>2121</v>
      </c>
      <c r="D1129" s="278" t="s">
        <v>1250</v>
      </c>
      <c r="E1129" s="278" t="s">
        <v>576</v>
      </c>
      <c r="F1129" s="278" t="s">
        <v>1385</v>
      </c>
      <c r="G1129" s="280" t="s">
        <v>77</v>
      </c>
      <c r="H1129" s="279" t="s">
        <v>2122</v>
      </c>
      <c r="I1129" s="279" t="s">
        <v>2123</v>
      </c>
      <c r="J1129" s="781">
        <v>75.680000000000007</v>
      </c>
      <c r="K1129" s="782"/>
    </row>
    <row r="1130" spans="1:11" ht="21.95" customHeight="1" x14ac:dyDescent="0.2">
      <c r="A1130" s="278" t="s">
        <v>1248</v>
      </c>
      <c r="B1130" s="278"/>
      <c r="C1130" s="279" t="s">
        <v>2124</v>
      </c>
      <c r="D1130" s="278" t="s">
        <v>1250</v>
      </c>
      <c r="E1130" s="278" t="s">
        <v>245</v>
      </c>
      <c r="F1130" s="278" t="s">
        <v>1364</v>
      </c>
      <c r="G1130" s="280" t="s">
        <v>77</v>
      </c>
      <c r="H1130" s="279" t="s">
        <v>2125</v>
      </c>
      <c r="I1130" s="279" t="s">
        <v>2126</v>
      </c>
      <c r="J1130" s="781">
        <v>485.75</v>
      </c>
      <c r="K1130" s="782"/>
    </row>
    <row r="1131" spans="1:11" ht="21.95" customHeight="1" x14ac:dyDescent="0.2">
      <c r="A1131" s="278" t="s">
        <v>1248</v>
      </c>
      <c r="B1131" s="278"/>
      <c r="C1131" s="279" t="s">
        <v>2127</v>
      </c>
      <c r="D1131" s="278" t="s">
        <v>1246</v>
      </c>
      <c r="E1131" s="278" t="s">
        <v>2128</v>
      </c>
      <c r="F1131" s="278" t="s">
        <v>1750</v>
      </c>
      <c r="G1131" s="280" t="s">
        <v>77</v>
      </c>
      <c r="H1131" s="279" t="s">
        <v>2129</v>
      </c>
      <c r="I1131" s="279" t="s">
        <v>2130</v>
      </c>
      <c r="J1131" s="781">
        <v>761.74</v>
      </c>
      <c r="K1131" s="782"/>
    </row>
    <row r="1132" spans="1:11" ht="21.95" customHeight="1" x14ac:dyDescent="0.2">
      <c r="A1132" s="278" t="s">
        <v>1248</v>
      </c>
      <c r="B1132" s="278"/>
      <c r="C1132" s="279" t="s">
        <v>2131</v>
      </c>
      <c r="D1132" s="278" t="s">
        <v>1250</v>
      </c>
      <c r="E1132" s="278" t="s">
        <v>250</v>
      </c>
      <c r="F1132" s="278" t="s">
        <v>1364</v>
      </c>
      <c r="G1132" s="280" t="s">
        <v>77</v>
      </c>
      <c r="H1132" s="279" t="s">
        <v>2132</v>
      </c>
      <c r="I1132" s="279" t="s">
        <v>2133</v>
      </c>
      <c r="J1132" s="781">
        <v>6405.29</v>
      </c>
      <c r="K1132" s="782"/>
    </row>
    <row r="1133" spans="1:11" ht="44.1" customHeight="1" x14ac:dyDescent="0.2">
      <c r="A1133" s="278" t="s">
        <v>1248</v>
      </c>
      <c r="B1133" s="278"/>
      <c r="C1133" s="279" t="s">
        <v>2134</v>
      </c>
      <c r="D1133" s="278" t="s">
        <v>1246</v>
      </c>
      <c r="E1133" s="278" t="s">
        <v>2135</v>
      </c>
      <c r="F1133" s="278" t="s">
        <v>1364</v>
      </c>
      <c r="G1133" s="280" t="s">
        <v>153</v>
      </c>
      <c r="H1133" s="279" t="s">
        <v>2136</v>
      </c>
      <c r="I1133" s="279" t="s">
        <v>2137</v>
      </c>
      <c r="J1133" s="781">
        <v>7405.23</v>
      </c>
      <c r="K1133" s="782"/>
    </row>
    <row r="1134" spans="1:11" ht="21.95" customHeight="1" x14ac:dyDescent="0.2">
      <c r="A1134" s="278" t="s">
        <v>1248</v>
      </c>
      <c r="B1134" s="278"/>
      <c r="C1134" s="279" t="s">
        <v>1876</v>
      </c>
      <c r="D1134" s="278" t="s">
        <v>1250</v>
      </c>
      <c r="E1134" s="278" t="s">
        <v>251</v>
      </c>
      <c r="F1134" s="278" t="s">
        <v>1364</v>
      </c>
      <c r="G1134" s="280" t="s">
        <v>153</v>
      </c>
      <c r="H1134" s="279" t="s">
        <v>2136</v>
      </c>
      <c r="I1134" s="279" t="s">
        <v>1877</v>
      </c>
      <c r="J1134" s="781">
        <v>423.03</v>
      </c>
      <c r="K1134" s="782"/>
    </row>
    <row r="1135" spans="1:11" ht="44.1" customHeight="1" x14ac:dyDescent="0.2">
      <c r="A1135" s="278" t="s">
        <v>1248</v>
      </c>
      <c r="B1135" s="278"/>
      <c r="C1135" s="279" t="s">
        <v>2138</v>
      </c>
      <c r="D1135" s="278" t="s">
        <v>1246</v>
      </c>
      <c r="E1135" s="278" t="s">
        <v>2139</v>
      </c>
      <c r="F1135" s="278" t="s">
        <v>1364</v>
      </c>
      <c r="G1135" s="280" t="s">
        <v>71</v>
      </c>
      <c r="H1135" s="279" t="s">
        <v>2140</v>
      </c>
      <c r="I1135" s="279" t="s">
        <v>2141</v>
      </c>
      <c r="J1135" s="781">
        <v>1266.08</v>
      </c>
      <c r="K1135" s="782"/>
    </row>
    <row r="1136" spans="1:11" ht="44.1" customHeight="1" x14ac:dyDescent="0.2">
      <c r="A1136" s="278" t="s">
        <v>1248</v>
      </c>
      <c r="B1136" s="278"/>
      <c r="C1136" s="279" t="s">
        <v>2142</v>
      </c>
      <c r="D1136" s="278" t="s">
        <v>1246</v>
      </c>
      <c r="E1136" s="278" t="s">
        <v>2143</v>
      </c>
      <c r="F1136" s="278" t="s">
        <v>1364</v>
      </c>
      <c r="G1136" s="280" t="s">
        <v>71</v>
      </c>
      <c r="H1136" s="279" t="s">
        <v>2144</v>
      </c>
      <c r="I1136" s="279" t="s">
        <v>2145</v>
      </c>
      <c r="J1136" s="781">
        <v>3102.47</v>
      </c>
      <c r="K1136" s="782"/>
    </row>
    <row r="1137" spans="1:11" ht="44.1" customHeight="1" x14ac:dyDescent="0.2">
      <c r="A1137" s="278" t="s">
        <v>1248</v>
      </c>
      <c r="B1137" s="278"/>
      <c r="C1137" s="279" t="s">
        <v>2146</v>
      </c>
      <c r="D1137" s="278" t="s">
        <v>1246</v>
      </c>
      <c r="E1137" s="278" t="s">
        <v>2147</v>
      </c>
      <c r="F1137" s="278" t="s">
        <v>1364</v>
      </c>
      <c r="G1137" s="280" t="s">
        <v>71</v>
      </c>
      <c r="H1137" s="279" t="s">
        <v>2148</v>
      </c>
      <c r="I1137" s="279" t="s">
        <v>1376</v>
      </c>
      <c r="J1137" s="781">
        <v>2687.79</v>
      </c>
      <c r="K1137" s="782"/>
    </row>
    <row r="1138" spans="1:11" ht="44.1" customHeight="1" x14ac:dyDescent="0.2">
      <c r="A1138" s="278" t="s">
        <v>1248</v>
      </c>
      <c r="B1138" s="278"/>
      <c r="C1138" s="279" t="s">
        <v>2149</v>
      </c>
      <c r="D1138" s="278" t="s">
        <v>1246</v>
      </c>
      <c r="E1138" s="278" t="s">
        <v>2150</v>
      </c>
      <c r="F1138" s="278" t="s">
        <v>1364</v>
      </c>
      <c r="G1138" s="280" t="s">
        <v>71</v>
      </c>
      <c r="H1138" s="279" t="s">
        <v>2151</v>
      </c>
      <c r="I1138" s="279" t="s">
        <v>2152</v>
      </c>
      <c r="J1138" s="781">
        <v>6059.07</v>
      </c>
      <c r="K1138" s="782"/>
    </row>
    <row r="1139" spans="1:11" ht="44.1" customHeight="1" x14ac:dyDescent="0.2">
      <c r="A1139" s="278" t="s">
        <v>1248</v>
      </c>
      <c r="B1139" s="278"/>
      <c r="C1139" s="279" t="s">
        <v>2153</v>
      </c>
      <c r="D1139" s="278" t="s">
        <v>1246</v>
      </c>
      <c r="E1139" s="278" t="s">
        <v>2154</v>
      </c>
      <c r="F1139" s="278" t="s">
        <v>1364</v>
      </c>
      <c r="G1139" s="280" t="s">
        <v>71</v>
      </c>
      <c r="H1139" s="279" t="s">
        <v>2155</v>
      </c>
      <c r="I1139" s="279" t="s">
        <v>2156</v>
      </c>
      <c r="J1139" s="781">
        <v>6710.82</v>
      </c>
      <c r="K1139" s="782"/>
    </row>
    <row r="1140" spans="1:11" ht="44.1" customHeight="1" x14ac:dyDescent="0.2">
      <c r="A1140" s="278" t="s">
        <v>1248</v>
      </c>
      <c r="B1140" s="278"/>
      <c r="C1140" s="279" t="s">
        <v>2157</v>
      </c>
      <c r="D1140" s="278" t="s">
        <v>1246</v>
      </c>
      <c r="E1140" s="278" t="s">
        <v>2158</v>
      </c>
      <c r="F1140" s="278" t="s">
        <v>1364</v>
      </c>
      <c r="G1140" s="280" t="s">
        <v>71</v>
      </c>
      <c r="H1140" s="279" t="s">
        <v>2159</v>
      </c>
      <c r="I1140" s="279" t="s">
        <v>2160</v>
      </c>
      <c r="J1140" s="781">
        <v>1341.68</v>
      </c>
      <c r="K1140" s="782"/>
    </row>
    <row r="1141" spans="1:11" ht="44.1" customHeight="1" x14ac:dyDescent="0.2">
      <c r="A1141" s="278" t="s">
        <v>1248</v>
      </c>
      <c r="B1141" s="278"/>
      <c r="C1141" s="279" t="s">
        <v>2161</v>
      </c>
      <c r="D1141" s="278" t="s">
        <v>1250</v>
      </c>
      <c r="E1141" s="278" t="s">
        <v>2162</v>
      </c>
      <c r="F1141" s="278" t="s">
        <v>1364</v>
      </c>
      <c r="G1141" s="280" t="s">
        <v>75</v>
      </c>
      <c r="H1141" s="279" t="s">
        <v>2163</v>
      </c>
      <c r="I1141" s="279" t="s">
        <v>2164</v>
      </c>
      <c r="J1141" s="781">
        <v>5222.1000000000004</v>
      </c>
      <c r="K1141" s="782"/>
    </row>
    <row r="1142" spans="1:11" ht="44.1" customHeight="1" x14ac:dyDescent="0.2">
      <c r="A1142" s="278" t="s">
        <v>1248</v>
      </c>
      <c r="B1142" s="278"/>
      <c r="C1142" s="279" t="s">
        <v>2165</v>
      </c>
      <c r="D1142" s="278" t="s">
        <v>1250</v>
      </c>
      <c r="E1142" s="278" t="s">
        <v>2166</v>
      </c>
      <c r="F1142" s="278" t="s">
        <v>1364</v>
      </c>
      <c r="G1142" s="280" t="s">
        <v>77</v>
      </c>
      <c r="H1142" s="279" t="s">
        <v>2167</v>
      </c>
      <c r="I1142" s="279" t="s">
        <v>2168</v>
      </c>
      <c r="J1142" s="781">
        <v>450.49</v>
      </c>
      <c r="K1142" s="782"/>
    </row>
    <row r="1143" spans="1:11" ht="33" customHeight="1" x14ac:dyDescent="0.2">
      <c r="A1143" s="278" t="s">
        <v>1248</v>
      </c>
      <c r="B1143" s="278"/>
      <c r="C1143" s="279" t="s">
        <v>2169</v>
      </c>
      <c r="D1143" s="278" t="s">
        <v>1250</v>
      </c>
      <c r="E1143" s="278" t="s">
        <v>2170</v>
      </c>
      <c r="F1143" s="278" t="s">
        <v>1364</v>
      </c>
      <c r="G1143" s="280" t="s">
        <v>153</v>
      </c>
      <c r="H1143" s="279" t="s">
        <v>1620</v>
      </c>
      <c r="I1143" s="279" t="s">
        <v>2171</v>
      </c>
      <c r="J1143" s="781">
        <v>779.38</v>
      </c>
      <c r="K1143" s="782"/>
    </row>
    <row r="1144" spans="1:11" ht="21.95" customHeight="1" x14ac:dyDescent="0.2">
      <c r="A1144" s="278" t="s">
        <v>1248</v>
      </c>
      <c r="B1144" s="278"/>
      <c r="C1144" s="279" t="s">
        <v>1412</v>
      </c>
      <c r="D1144" s="278" t="s">
        <v>1250</v>
      </c>
      <c r="E1144" s="278" t="s">
        <v>1413</v>
      </c>
      <c r="F1144" s="278" t="s">
        <v>1364</v>
      </c>
      <c r="G1144" s="280" t="s">
        <v>153</v>
      </c>
      <c r="H1144" s="279" t="s">
        <v>1620</v>
      </c>
      <c r="I1144" s="279" t="s">
        <v>1414</v>
      </c>
      <c r="J1144" s="781">
        <v>372.53</v>
      </c>
      <c r="K1144" s="782"/>
    </row>
    <row r="1145" spans="1:11" ht="44.1" customHeight="1" x14ac:dyDescent="0.2">
      <c r="A1145" s="278" t="s">
        <v>1248</v>
      </c>
      <c r="B1145" s="278"/>
      <c r="C1145" s="279" t="s">
        <v>1819</v>
      </c>
      <c r="D1145" s="278" t="s">
        <v>1250</v>
      </c>
      <c r="E1145" s="278" t="s">
        <v>1820</v>
      </c>
      <c r="F1145" s="278" t="s">
        <v>1364</v>
      </c>
      <c r="G1145" s="280" t="s">
        <v>71</v>
      </c>
      <c r="H1145" s="279" t="s">
        <v>2172</v>
      </c>
      <c r="I1145" s="279" t="s">
        <v>1822</v>
      </c>
      <c r="J1145" s="781">
        <v>976.39</v>
      </c>
      <c r="K1145" s="782"/>
    </row>
    <row r="1146" spans="1:11" ht="44.1" customHeight="1" x14ac:dyDescent="0.2">
      <c r="A1146" s="278" t="s">
        <v>1248</v>
      </c>
      <c r="B1146" s="278"/>
      <c r="C1146" s="279" t="s">
        <v>2173</v>
      </c>
      <c r="D1146" s="278" t="s">
        <v>1250</v>
      </c>
      <c r="E1146" s="278" t="s">
        <v>2174</v>
      </c>
      <c r="F1146" s="278" t="s">
        <v>1364</v>
      </c>
      <c r="G1146" s="280" t="s">
        <v>71</v>
      </c>
      <c r="H1146" s="279" t="s">
        <v>2175</v>
      </c>
      <c r="I1146" s="279" t="s">
        <v>2176</v>
      </c>
      <c r="J1146" s="781">
        <v>400.47</v>
      </c>
      <c r="K1146" s="782"/>
    </row>
    <row r="1147" spans="1:11" ht="44.1" customHeight="1" x14ac:dyDescent="0.2">
      <c r="A1147" s="278" t="s">
        <v>1248</v>
      </c>
      <c r="B1147" s="278"/>
      <c r="C1147" s="279" t="s">
        <v>2177</v>
      </c>
      <c r="D1147" s="278" t="s">
        <v>1250</v>
      </c>
      <c r="E1147" s="278" t="s">
        <v>2178</v>
      </c>
      <c r="F1147" s="278" t="s">
        <v>1364</v>
      </c>
      <c r="G1147" s="280" t="s">
        <v>71</v>
      </c>
      <c r="H1147" s="279" t="s">
        <v>2179</v>
      </c>
      <c r="I1147" s="279" t="s">
        <v>2180</v>
      </c>
      <c r="J1147" s="781">
        <v>2244.88</v>
      </c>
      <c r="K1147" s="782"/>
    </row>
    <row r="1148" spans="1:11" ht="33" customHeight="1" x14ac:dyDescent="0.2">
      <c r="A1148" s="278" t="s">
        <v>1248</v>
      </c>
      <c r="B1148" s="278"/>
      <c r="C1148" s="279" t="s">
        <v>2181</v>
      </c>
      <c r="D1148" s="278" t="s">
        <v>1250</v>
      </c>
      <c r="E1148" s="278" t="s">
        <v>2182</v>
      </c>
      <c r="F1148" s="278" t="s">
        <v>1364</v>
      </c>
      <c r="G1148" s="280" t="s">
        <v>77</v>
      </c>
      <c r="H1148" s="279" t="s">
        <v>2183</v>
      </c>
      <c r="I1148" s="279" t="s">
        <v>2184</v>
      </c>
      <c r="J1148" s="781">
        <v>1157.73</v>
      </c>
      <c r="K1148" s="782"/>
    </row>
    <row r="1149" spans="1:11" ht="44.1" customHeight="1" x14ac:dyDescent="0.2">
      <c r="A1149" s="278" t="s">
        <v>1248</v>
      </c>
      <c r="B1149" s="278"/>
      <c r="C1149" s="279" t="s">
        <v>2185</v>
      </c>
      <c r="D1149" s="278" t="s">
        <v>1250</v>
      </c>
      <c r="E1149" s="278" t="s">
        <v>2186</v>
      </c>
      <c r="F1149" s="278" t="s">
        <v>1364</v>
      </c>
      <c r="G1149" s="280" t="s">
        <v>77</v>
      </c>
      <c r="H1149" s="279" t="s">
        <v>2187</v>
      </c>
      <c r="I1149" s="279" t="s">
        <v>2188</v>
      </c>
      <c r="J1149" s="781">
        <v>1108.94</v>
      </c>
      <c r="K1149" s="782"/>
    </row>
    <row r="1150" spans="1:11" ht="21.95" customHeight="1" x14ac:dyDescent="0.2">
      <c r="A1150" s="278" t="s">
        <v>1248</v>
      </c>
      <c r="B1150" s="278"/>
      <c r="C1150" s="279" t="s">
        <v>1439</v>
      </c>
      <c r="D1150" s="278" t="s">
        <v>1246</v>
      </c>
      <c r="E1150" s="278" t="s">
        <v>264</v>
      </c>
      <c r="F1150" s="278" t="s">
        <v>1364</v>
      </c>
      <c r="G1150" s="280" t="s">
        <v>71</v>
      </c>
      <c r="H1150" s="279" t="s">
        <v>2189</v>
      </c>
      <c r="I1150" s="279" t="s">
        <v>1440</v>
      </c>
      <c r="J1150" s="781">
        <v>2303.61</v>
      </c>
      <c r="K1150" s="782"/>
    </row>
    <row r="1151" spans="1:11" ht="21.95" customHeight="1" x14ac:dyDescent="0.2">
      <c r="A1151" s="278" t="s">
        <v>1248</v>
      </c>
      <c r="B1151" s="278"/>
      <c r="C1151" s="279" t="s">
        <v>1474</v>
      </c>
      <c r="D1151" s="278" t="s">
        <v>1246</v>
      </c>
      <c r="E1151" s="278" t="s">
        <v>266</v>
      </c>
      <c r="F1151" s="278" t="s">
        <v>1364</v>
      </c>
      <c r="G1151" s="280" t="s">
        <v>71</v>
      </c>
      <c r="H1151" s="279" t="s">
        <v>2189</v>
      </c>
      <c r="I1151" s="279" t="s">
        <v>1475</v>
      </c>
      <c r="J1151" s="781">
        <v>660.84</v>
      </c>
      <c r="K1151" s="782"/>
    </row>
    <row r="1152" spans="1:11" ht="33" customHeight="1" thickBot="1" x14ac:dyDescent="0.25">
      <c r="A1152" s="278" t="s">
        <v>1248</v>
      </c>
      <c r="B1152" s="278"/>
      <c r="C1152" s="279" t="s">
        <v>2190</v>
      </c>
      <c r="D1152" s="278" t="s">
        <v>1250</v>
      </c>
      <c r="E1152" s="278" t="s">
        <v>521</v>
      </c>
      <c r="F1152" s="278" t="s">
        <v>1395</v>
      </c>
      <c r="G1152" s="280" t="s">
        <v>77</v>
      </c>
      <c r="H1152" s="279" t="s">
        <v>2191</v>
      </c>
      <c r="I1152" s="279" t="s">
        <v>2192</v>
      </c>
      <c r="J1152" s="784">
        <v>519.17999999999995</v>
      </c>
      <c r="K1152" s="785"/>
    </row>
    <row r="1153" spans="1:11" ht="0.95" customHeight="1" thickTop="1" x14ac:dyDescent="0.2">
      <c r="A1153" s="281"/>
      <c r="B1153" s="281"/>
      <c r="C1153" s="281"/>
      <c r="D1153" s="281"/>
      <c r="E1153" s="281"/>
      <c r="F1153" s="281"/>
      <c r="G1153" s="281"/>
      <c r="H1153" s="281"/>
      <c r="I1153" s="281"/>
      <c r="J1153" s="421"/>
      <c r="K1153" s="421"/>
    </row>
    <row r="1154" spans="1:11" ht="18" customHeight="1" x14ac:dyDescent="0.2">
      <c r="A1154" s="272"/>
      <c r="B1154" s="272" t="s">
        <v>54</v>
      </c>
      <c r="C1154" s="273" t="s">
        <v>1239</v>
      </c>
      <c r="D1154" s="272" t="s">
        <v>1240</v>
      </c>
      <c r="E1154" s="272" t="s">
        <v>1241</v>
      </c>
      <c r="F1154" s="272" t="s">
        <v>1242</v>
      </c>
      <c r="G1154" s="274" t="s">
        <v>60</v>
      </c>
      <c r="H1154" s="273" t="s">
        <v>58</v>
      </c>
      <c r="I1154" s="273" t="s">
        <v>1243</v>
      </c>
      <c r="J1154" s="775" t="s">
        <v>196</v>
      </c>
      <c r="K1154" s="776"/>
    </row>
    <row r="1155" spans="1:11" ht="21.95" customHeight="1" x14ac:dyDescent="0.2">
      <c r="A1155" s="275" t="s">
        <v>1244</v>
      </c>
      <c r="B1155" s="275" t="s">
        <v>4256</v>
      </c>
      <c r="C1155" s="276" t="s">
        <v>4257</v>
      </c>
      <c r="D1155" s="275" t="s">
        <v>1246</v>
      </c>
      <c r="E1155" s="275" t="s">
        <v>3369</v>
      </c>
      <c r="F1155" s="275" t="s">
        <v>1750</v>
      </c>
      <c r="G1155" s="277" t="s">
        <v>52</v>
      </c>
      <c r="H1155" s="276">
        <v>1</v>
      </c>
      <c r="I1155" s="276" t="s">
        <v>4258</v>
      </c>
      <c r="J1155" s="777" t="s">
        <v>4258</v>
      </c>
      <c r="K1155" s="778"/>
    </row>
    <row r="1156" spans="1:11" ht="21.95" customHeight="1" x14ac:dyDescent="0.2">
      <c r="A1156" s="278" t="s">
        <v>1248</v>
      </c>
      <c r="B1156" s="278"/>
      <c r="C1156" s="279" t="s">
        <v>1384</v>
      </c>
      <c r="D1156" s="278" t="s">
        <v>1250</v>
      </c>
      <c r="E1156" s="278" t="s">
        <v>243</v>
      </c>
      <c r="F1156" s="278" t="s">
        <v>1385</v>
      </c>
      <c r="G1156" s="280" t="s">
        <v>153</v>
      </c>
      <c r="H1156" s="279" t="s">
        <v>4259</v>
      </c>
      <c r="I1156" s="279" t="s">
        <v>1386</v>
      </c>
      <c r="J1156" s="781">
        <v>124.16</v>
      </c>
      <c r="K1156" s="782"/>
    </row>
    <row r="1157" spans="1:11" ht="44.1" customHeight="1" x14ac:dyDescent="0.2">
      <c r="A1157" s="278" t="s">
        <v>1248</v>
      </c>
      <c r="B1157" s="278"/>
      <c r="C1157" s="279" t="s">
        <v>2149</v>
      </c>
      <c r="D1157" s="278" t="s">
        <v>1246</v>
      </c>
      <c r="E1157" s="278" t="s">
        <v>2150</v>
      </c>
      <c r="F1157" s="278" t="s">
        <v>1364</v>
      </c>
      <c r="G1157" s="280" t="s">
        <v>71</v>
      </c>
      <c r="H1157" s="279" t="s">
        <v>4260</v>
      </c>
      <c r="I1157" s="279" t="s">
        <v>2152</v>
      </c>
      <c r="J1157" s="781">
        <v>263.63</v>
      </c>
      <c r="K1157" s="782"/>
    </row>
    <row r="1158" spans="1:11" ht="44.1" customHeight="1" x14ac:dyDescent="0.2">
      <c r="A1158" s="278" t="s">
        <v>1248</v>
      </c>
      <c r="B1158" s="278"/>
      <c r="C1158" s="279" t="s">
        <v>2138</v>
      </c>
      <c r="D1158" s="278" t="s">
        <v>1246</v>
      </c>
      <c r="E1158" s="278" t="s">
        <v>2139</v>
      </c>
      <c r="F1158" s="278" t="s">
        <v>1364</v>
      </c>
      <c r="G1158" s="280" t="s">
        <v>71</v>
      </c>
      <c r="H1158" s="279" t="s">
        <v>4261</v>
      </c>
      <c r="I1158" s="279" t="s">
        <v>2141</v>
      </c>
      <c r="J1158" s="781">
        <v>100.19</v>
      </c>
      <c r="K1158" s="782"/>
    </row>
    <row r="1159" spans="1:11" ht="33" customHeight="1" x14ac:dyDescent="0.2">
      <c r="A1159" s="278" t="s">
        <v>1248</v>
      </c>
      <c r="B1159" s="278"/>
      <c r="C1159" s="279" t="s">
        <v>4262</v>
      </c>
      <c r="D1159" s="278" t="s">
        <v>1250</v>
      </c>
      <c r="E1159" s="278" t="s">
        <v>4263</v>
      </c>
      <c r="F1159" s="278" t="s">
        <v>1364</v>
      </c>
      <c r="G1159" s="280" t="s">
        <v>153</v>
      </c>
      <c r="H1159" s="279" t="s">
        <v>4259</v>
      </c>
      <c r="I1159" s="279" t="s">
        <v>4264</v>
      </c>
      <c r="J1159" s="781">
        <v>677.43</v>
      </c>
      <c r="K1159" s="782"/>
    </row>
    <row r="1160" spans="1:11" ht="21.95" customHeight="1" x14ac:dyDescent="0.2">
      <c r="A1160" s="278" t="s">
        <v>1248</v>
      </c>
      <c r="B1160" s="278"/>
      <c r="C1160" s="279" t="s">
        <v>4265</v>
      </c>
      <c r="D1160" s="278" t="s">
        <v>1250</v>
      </c>
      <c r="E1160" s="278" t="s">
        <v>4266</v>
      </c>
      <c r="F1160" s="278" t="s">
        <v>1364</v>
      </c>
      <c r="G1160" s="280" t="s">
        <v>153</v>
      </c>
      <c r="H1160" s="279" t="s">
        <v>4259</v>
      </c>
      <c r="I1160" s="279" t="s">
        <v>4267</v>
      </c>
      <c r="J1160" s="781">
        <v>205.84</v>
      </c>
      <c r="K1160" s="782"/>
    </row>
    <row r="1161" spans="1:11" ht="21.95" customHeight="1" thickBot="1" x14ac:dyDescent="0.25">
      <c r="A1161" s="282" t="s">
        <v>1276</v>
      </c>
      <c r="B1161" s="282"/>
      <c r="C1161" s="283" t="s">
        <v>4268</v>
      </c>
      <c r="D1161" s="282" t="s">
        <v>1246</v>
      </c>
      <c r="E1161" s="282" t="s">
        <v>3821</v>
      </c>
      <c r="F1161" s="282" t="s">
        <v>1278</v>
      </c>
      <c r="G1161" s="284" t="s">
        <v>52</v>
      </c>
      <c r="H1161" s="283" t="s">
        <v>1262</v>
      </c>
      <c r="I1161" s="283" t="s">
        <v>4269</v>
      </c>
      <c r="J1161" s="770">
        <v>11300</v>
      </c>
      <c r="K1161" s="771"/>
    </row>
    <row r="1162" spans="1:11" ht="0.95" customHeight="1" thickTop="1" thickBot="1" x14ac:dyDescent="0.25">
      <c r="A1162" s="281"/>
      <c r="B1162" s="281"/>
      <c r="C1162" s="281"/>
      <c r="D1162" s="281"/>
      <c r="E1162" s="281"/>
      <c r="F1162" s="281"/>
      <c r="G1162" s="281"/>
      <c r="H1162" s="281"/>
      <c r="I1162" s="281"/>
      <c r="J1162" s="421"/>
      <c r="K1162" s="421"/>
    </row>
    <row r="1163" spans="1:11" ht="0.95" customHeight="1" thickTop="1" x14ac:dyDescent="0.2">
      <c r="A1163" s="281"/>
      <c r="B1163" s="281"/>
      <c r="C1163" s="281"/>
      <c r="D1163" s="281"/>
      <c r="E1163" s="281"/>
      <c r="F1163" s="281"/>
      <c r="G1163" s="281"/>
      <c r="H1163" s="281"/>
      <c r="I1163" s="281"/>
      <c r="J1163" s="421"/>
      <c r="K1163" s="421"/>
    </row>
    <row r="1164" spans="1:11" ht="18" customHeight="1" x14ac:dyDescent="0.2">
      <c r="A1164" s="272"/>
      <c r="B1164" s="272" t="s">
        <v>54</v>
      </c>
      <c r="C1164" s="273" t="s">
        <v>1239</v>
      </c>
      <c r="D1164" s="272" t="s">
        <v>1240</v>
      </c>
      <c r="E1164" s="272" t="s">
        <v>1241</v>
      </c>
      <c r="F1164" s="272" t="s">
        <v>1242</v>
      </c>
      <c r="G1164" s="274" t="s">
        <v>60</v>
      </c>
      <c r="H1164" s="273" t="s">
        <v>58</v>
      </c>
      <c r="I1164" s="273" t="s">
        <v>1243</v>
      </c>
      <c r="J1164" s="775" t="s">
        <v>196</v>
      </c>
      <c r="K1164" s="776"/>
    </row>
    <row r="1165" spans="1:11" ht="21.95" customHeight="1" x14ac:dyDescent="0.2">
      <c r="A1165" s="275" t="s">
        <v>1244</v>
      </c>
      <c r="B1165" s="275" t="s">
        <v>4278</v>
      </c>
      <c r="C1165" s="276" t="s">
        <v>2201</v>
      </c>
      <c r="D1165" s="275" t="s">
        <v>1246</v>
      </c>
      <c r="E1165" s="275" t="s">
        <v>677</v>
      </c>
      <c r="F1165" s="275" t="s">
        <v>1750</v>
      </c>
      <c r="G1165" s="277" t="s">
        <v>52</v>
      </c>
      <c r="H1165" s="276">
        <v>1</v>
      </c>
      <c r="I1165" s="276" t="s">
        <v>2202</v>
      </c>
      <c r="J1165" s="777" t="s">
        <v>2202</v>
      </c>
      <c r="K1165" s="778"/>
    </row>
    <row r="1166" spans="1:11" ht="21.95" customHeight="1" x14ac:dyDescent="0.2">
      <c r="A1166" s="278" t="s">
        <v>1248</v>
      </c>
      <c r="B1166" s="278"/>
      <c r="C1166" s="279" t="s">
        <v>1273</v>
      </c>
      <c r="D1166" s="278" t="s">
        <v>1250</v>
      </c>
      <c r="E1166" s="278" t="s">
        <v>1274</v>
      </c>
      <c r="F1166" s="278" t="s">
        <v>1252</v>
      </c>
      <c r="G1166" s="280" t="s">
        <v>1253</v>
      </c>
      <c r="H1166" s="279" t="s">
        <v>1352</v>
      </c>
      <c r="I1166" s="279" t="s">
        <v>1275</v>
      </c>
      <c r="J1166" s="781">
        <v>1.38</v>
      </c>
      <c r="K1166" s="782"/>
    </row>
    <row r="1167" spans="1:11" ht="21.95" customHeight="1" thickBot="1" x14ac:dyDescent="0.25">
      <c r="A1167" s="282" t="s">
        <v>1276</v>
      </c>
      <c r="B1167" s="282"/>
      <c r="C1167" s="283" t="s">
        <v>2203</v>
      </c>
      <c r="D1167" s="282" t="s">
        <v>1250</v>
      </c>
      <c r="E1167" s="282" t="s">
        <v>2204</v>
      </c>
      <c r="F1167" s="282" t="s">
        <v>1278</v>
      </c>
      <c r="G1167" s="284" t="s">
        <v>52</v>
      </c>
      <c r="H1167" s="283" t="s">
        <v>1262</v>
      </c>
      <c r="I1167" s="283" t="s">
        <v>2205</v>
      </c>
      <c r="J1167" s="770">
        <v>22</v>
      </c>
      <c r="K1167" s="771"/>
    </row>
    <row r="1168" spans="1:11" ht="0.95" customHeight="1" thickTop="1" x14ac:dyDescent="0.2">
      <c r="A1168" s="281"/>
      <c r="B1168" s="281"/>
      <c r="C1168" s="281"/>
      <c r="D1168" s="281"/>
      <c r="E1168" s="281"/>
      <c r="F1168" s="281"/>
      <c r="G1168" s="281"/>
      <c r="H1168" s="281"/>
      <c r="I1168" s="281"/>
      <c r="J1168" s="421"/>
      <c r="K1168" s="421"/>
    </row>
    <row r="1169" spans="1:11" ht="18" customHeight="1" x14ac:dyDescent="0.2">
      <c r="A1169" s="272"/>
      <c r="B1169" s="272" t="s">
        <v>54</v>
      </c>
      <c r="C1169" s="273" t="s">
        <v>1239</v>
      </c>
      <c r="D1169" s="272" t="s">
        <v>1240</v>
      </c>
      <c r="E1169" s="272" t="s">
        <v>1241</v>
      </c>
      <c r="F1169" s="272" t="s">
        <v>1242</v>
      </c>
      <c r="G1169" s="274" t="s">
        <v>60</v>
      </c>
      <c r="H1169" s="273" t="s">
        <v>58</v>
      </c>
      <c r="I1169" s="273" t="s">
        <v>1243</v>
      </c>
      <c r="J1169" s="775" t="s">
        <v>196</v>
      </c>
      <c r="K1169" s="776"/>
    </row>
    <row r="1170" spans="1:11" ht="21.95" customHeight="1" x14ac:dyDescent="0.2">
      <c r="A1170" s="275" t="s">
        <v>1244</v>
      </c>
      <c r="B1170" s="275" t="s">
        <v>4279</v>
      </c>
      <c r="C1170" s="276" t="s">
        <v>2197</v>
      </c>
      <c r="D1170" s="275" t="s">
        <v>1246</v>
      </c>
      <c r="E1170" s="275" t="s">
        <v>345</v>
      </c>
      <c r="F1170" s="275" t="s">
        <v>1252</v>
      </c>
      <c r="G1170" s="277" t="s">
        <v>52</v>
      </c>
      <c r="H1170" s="276">
        <v>1</v>
      </c>
      <c r="I1170" s="276" t="s">
        <v>2198</v>
      </c>
      <c r="J1170" s="777" t="s">
        <v>2198</v>
      </c>
      <c r="K1170" s="778"/>
    </row>
    <row r="1171" spans="1:11" ht="21.95" customHeight="1" x14ac:dyDescent="0.2">
      <c r="A1171" s="278" t="s">
        <v>1248</v>
      </c>
      <c r="B1171" s="278"/>
      <c r="C1171" s="279" t="s">
        <v>1269</v>
      </c>
      <c r="D1171" s="278" t="s">
        <v>1250</v>
      </c>
      <c r="E1171" s="278" t="s">
        <v>1270</v>
      </c>
      <c r="F1171" s="278" t="s">
        <v>1252</v>
      </c>
      <c r="G1171" s="280" t="s">
        <v>1253</v>
      </c>
      <c r="H1171" s="279" t="s">
        <v>1271</v>
      </c>
      <c r="I1171" s="279" t="s">
        <v>1272</v>
      </c>
      <c r="J1171" s="781">
        <v>10.25</v>
      </c>
      <c r="K1171" s="782"/>
    </row>
    <row r="1172" spans="1:11" ht="21.95" customHeight="1" thickBot="1" x14ac:dyDescent="0.25">
      <c r="A1172" s="282" t="s">
        <v>1276</v>
      </c>
      <c r="B1172" s="282"/>
      <c r="C1172" s="283" t="s">
        <v>2199</v>
      </c>
      <c r="D1172" s="282" t="s">
        <v>1250</v>
      </c>
      <c r="E1172" s="282" t="s">
        <v>345</v>
      </c>
      <c r="F1172" s="282" t="s">
        <v>1278</v>
      </c>
      <c r="G1172" s="284" t="s">
        <v>52</v>
      </c>
      <c r="H1172" s="283" t="s">
        <v>1262</v>
      </c>
      <c r="I1172" s="283" t="s">
        <v>2200</v>
      </c>
      <c r="J1172" s="770">
        <v>31.7</v>
      </c>
      <c r="K1172" s="771"/>
    </row>
    <row r="1173" spans="1:11" ht="0.95" customHeight="1" thickTop="1" x14ac:dyDescent="0.2">
      <c r="A1173" s="281"/>
      <c r="B1173" s="281"/>
      <c r="C1173" s="281"/>
      <c r="D1173" s="281"/>
      <c r="E1173" s="281"/>
      <c r="F1173" s="281"/>
      <c r="G1173" s="281"/>
      <c r="H1173" s="281"/>
      <c r="I1173" s="281"/>
      <c r="J1173" s="421"/>
      <c r="K1173" s="421"/>
    </row>
    <row r="1174" spans="1:11" ht="18" customHeight="1" x14ac:dyDescent="0.2">
      <c r="A1174" s="272"/>
      <c r="B1174" s="272" t="s">
        <v>54</v>
      </c>
      <c r="C1174" s="273" t="s">
        <v>1239</v>
      </c>
      <c r="D1174" s="272" t="s">
        <v>1240</v>
      </c>
      <c r="E1174" s="272" t="s">
        <v>1241</v>
      </c>
      <c r="F1174" s="272" t="s">
        <v>1242</v>
      </c>
      <c r="G1174" s="274" t="s">
        <v>60</v>
      </c>
      <c r="H1174" s="273" t="s">
        <v>58</v>
      </c>
      <c r="I1174" s="273" t="s">
        <v>1243</v>
      </c>
      <c r="J1174" s="775" t="s">
        <v>196</v>
      </c>
      <c r="K1174" s="776"/>
    </row>
    <row r="1175" spans="1:11" ht="21.95" customHeight="1" x14ac:dyDescent="0.2">
      <c r="A1175" s="275" t="s">
        <v>1244</v>
      </c>
      <c r="B1175" s="275" t="s">
        <v>4280</v>
      </c>
      <c r="C1175" s="276" t="s">
        <v>2201</v>
      </c>
      <c r="D1175" s="275" t="s">
        <v>1246</v>
      </c>
      <c r="E1175" s="275" t="s">
        <v>677</v>
      </c>
      <c r="F1175" s="275" t="s">
        <v>1750</v>
      </c>
      <c r="G1175" s="277" t="s">
        <v>52</v>
      </c>
      <c r="H1175" s="276">
        <v>1</v>
      </c>
      <c r="I1175" s="276" t="s">
        <v>2202</v>
      </c>
      <c r="J1175" s="777" t="s">
        <v>2202</v>
      </c>
      <c r="K1175" s="778"/>
    </row>
    <row r="1176" spans="1:11" ht="21.95" customHeight="1" x14ac:dyDescent="0.2">
      <c r="A1176" s="278" t="s">
        <v>1248</v>
      </c>
      <c r="B1176" s="278"/>
      <c r="C1176" s="279" t="s">
        <v>1273</v>
      </c>
      <c r="D1176" s="278" t="s">
        <v>1250</v>
      </c>
      <c r="E1176" s="278" t="s">
        <v>1274</v>
      </c>
      <c r="F1176" s="278" t="s">
        <v>1252</v>
      </c>
      <c r="G1176" s="280" t="s">
        <v>1253</v>
      </c>
      <c r="H1176" s="279" t="s">
        <v>1352</v>
      </c>
      <c r="I1176" s="279" t="s">
        <v>1275</v>
      </c>
      <c r="J1176" s="781">
        <v>1.38</v>
      </c>
      <c r="K1176" s="782"/>
    </row>
    <row r="1177" spans="1:11" ht="21.95" customHeight="1" thickBot="1" x14ac:dyDescent="0.25">
      <c r="A1177" s="282" t="s">
        <v>1276</v>
      </c>
      <c r="B1177" s="282"/>
      <c r="C1177" s="283" t="s">
        <v>2203</v>
      </c>
      <c r="D1177" s="282" t="s">
        <v>1250</v>
      </c>
      <c r="E1177" s="282" t="s">
        <v>2204</v>
      </c>
      <c r="F1177" s="282" t="s">
        <v>1278</v>
      </c>
      <c r="G1177" s="284" t="s">
        <v>52</v>
      </c>
      <c r="H1177" s="283" t="s">
        <v>1262</v>
      </c>
      <c r="I1177" s="283" t="s">
        <v>2205</v>
      </c>
      <c r="J1177" s="770">
        <v>22</v>
      </c>
      <c r="K1177" s="771"/>
    </row>
    <row r="1178" spans="1:11" ht="0.95" customHeight="1" thickTop="1" x14ac:dyDescent="0.2">
      <c r="A1178" s="281"/>
      <c r="B1178" s="281"/>
      <c r="C1178" s="281"/>
      <c r="D1178" s="281"/>
      <c r="E1178" s="281"/>
      <c r="F1178" s="281"/>
      <c r="G1178" s="281"/>
      <c r="H1178" s="281"/>
      <c r="I1178" s="281"/>
      <c r="J1178" s="421"/>
      <c r="K1178" s="421"/>
    </row>
    <row r="1179" spans="1:11" ht="18" customHeight="1" x14ac:dyDescent="0.2">
      <c r="A1179" s="272"/>
      <c r="B1179" s="272" t="s">
        <v>54</v>
      </c>
      <c r="C1179" s="273" t="s">
        <v>1239</v>
      </c>
      <c r="D1179" s="272" t="s">
        <v>1240</v>
      </c>
      <c r="E1179" s="272" t="s">
        <v>1241</v>
      </c>
      <c r="F1179" s="272" t="s">
        <v>1242</v>
      </c>
      <c r="G1179" s="274" t="s">
        <v>60</v>
      </c>
      <c r="H1179" s="273" t="s">
        <v>58</v>
      </c>
      <c r="I1179" s="273" t="s">
        <v>1243</v>
      </c>
      <c r="J1179" s="775" t="s">
        <v>196</v>
      </c>
      <c r="K1179" s="776"/>
    </row>
    <row r="1180" spans="1:11" ht="21.95" customHeight="1" x14ac:dyDescent="0.2">
      <c r="A1180" s="275" t="s">
        <v>1244</v>
      </c>
      <c r="B1180" s="275" t="s">
        <v>4281</v>
      </c>
      <c r="C1180" s="276" t="s">
        <v>2197</v>
      </c>
      <c r="D1180" s="275" t="s">
        <v>1246</v>
      </c>
      <c r="E1180" s="275" t="s">
        <v>345</v>
      </c>
      <c r="F1180" s="275" t="s">
        <v>1252</v>
      </c>
      <c r="G1180" s="277" t="s">
        <v>52</v>
      </c>
      <c r="H1180" s="276">
        <v>1</v>
      </c>
      <c r="I1180" s="276" t="s">
        <v>2198</v>
      </c>
      <c r="J1180" s="777" t="s">
        <v>2198</v>
      </c>
      <c r="K1180" s="778"/>
    </row>
    <row r="1181" spans="1:11" ht="21.95" customHeight="1" x14ac:dyDescent="0.2">
      <c r="A1181" s="278" t="s">
        <v>1248</v>
      </c>
      <c r="B1181" s="278"/>
      <c r="C1181" s="279" t="s">
        <v>1269</v>
      </c>
      <c r="D1181" s="278" t="s">
        <v>1250</v>
      </c>
      <c r="E1181" s="278" t="s">
        <v>1270</v>
      </c>
      <c r="F1181" s="278" t="s">
        <v>1252</v>
      </c>
      <c r="G1181" s="280" t="s">
        <v>1253</v>
      </c>
      <c r="H1181" s="279" t="s">
        <v>1271</v>
      </c>
      <c r="I1181" s="279" t="s">
        <v>1272</v>
      </c>
      <c r="J1181" s="781">
        <v>10.25</v>
      </c>
      <c r="K1181" s="782"/>
    </row>
    <row r="1182" spans="1:11" ht="21.95" customHeight="1" thickBot="1" x14ac:dyDescent="0.25">
      <c r="A1182" s="282" t="s">
        <v>1276</v>
      </c>
      <c r="B1182" s="282"/>
      <c r="C1182" s="283" t="s">
        <v>2199</v>
      </c>
      <c r="D1182" s="282" t="s">
        <v>1250</v>
      </c>
      <c r="E1182" s="282" t="s">
        <v>345</v>
      </c>
      <c r="F1182" s="282" t="s">
        <v>1278</v>
      </c>
      <c r="G1182" s="284" t="s">
        <v>52</v>
      </c>
      <c r="H1182" s="283" t="s">
        <v>1262</v>
      </c>
      <c r="I1182" s="283" t="s">
        <v>2200</v>
      </c>
      <c r="J1182" s="770">
        <v>31.7</v>
      </c>
      <c r="K1182" s="771"/>
    </row>
    <row r="1183" spans="1:11" ht="0.95" customHeight="1" thickTop="1" x14ac:dyDescent="0.2">
      <c r="A1183" s="281"/>
      <c r="B1183" s="281"/>
      <c r="C1183" s="281"/>
      <c r="D1183" s="281"/>
      <c r="E1183" s="281"/>
      <c r="F1183" s="281"/>
      <c r="G1183" s="281"/>
      <c r="H1183" s="281"/>
      <c r="I1183" s="281"/>
      <c r="J1183" s="421"/>
      <c r="K1183" s="421"/>
    </row>
    <row r="1184" spans="1:11" ht="18" customHeight="1" x14ac:dyDescent="0.2">
      <c r="A1184" s="272"/>
      <c r="B1184" s="272" t="s">
        <v>54</v>
      </c>
      <c r="C1184" s="273" t="s">
        <v>1239</v>
      </c>
      <c r="D1184" s="272" t="s">
        <v>1240</v>
      </c>
      <c r="E1184" s="272" t="s">
        <v>1241</v>
      </c>
      <c r="F1184" s="272" t="s">
        <v>1242</v>
      </c>
      <c r="G1184" s="274" t="s">
        <v>60</v>
      </c>
      <c r="H1184" s="273" t="s">
        <v>58</v>
      </c>
      <c r="I1184" s="273" t="s">
        <v>1243</v>
      </c>
      <c r="J1184" s="775" t="s">
        <v>196</v>
      </c>
      <c r="K1184" s="776"/>
    </row>
    <row r="1185" spans="1:11" ht="21.95" customHeight="1" x14ac:dyDescent="0.2">
      <c r="A1185" s="275" t="s">
        <v>1244</v>
      </c>
      <c r="B1185" s="275" t="s">
        <v>4282</v>
      </c>
      <c r="C1185" s="276" t="s">
        <v>2201</v>
      </c>
      <c r="D1185" s="275" t="s">
        <v>1246</v>
      </c>
      <c r="E1185" s="275" t="s">
        <v>677</v>
      </c>
      <c r="F1185" s="275" t="s">
        <v>1750</v>
      </c>
      <c r="G1185" s="277" t="s">
        <v>52</v>
      </c>
      <c r="H1185" s="276">
        <v>1</v>
      </c>
      <c r="I1185" s="276" t="s">
        <v>2202</v>
      </c>
      <c r="J1185" s="777" t="s">
        <v>2202</v>
      </c>
      <c r="K1185" s="778"/>
    </row>
    <row r="1186" spans="1:11" ht="21.95" customHeight="1" x14ac:dyDescent="0.2">
      <c r="A1186" s="278" t="s">
        <v>1248</v>
      </c>
      <c r="B1186" s="278"/>
      <c r="C1186" s="279" t="s">
        <v>1273</v>
      </c>
      <c r="D1186" s="278" t="s">
        <v>1250</v>
      </c>
      <c r="E1186" s="278" t="s">
        <v>1274</v>
      </c>
      <c r="F1186" s="278" t="s">
        <v>1252</v>
      </c>
      <c r="G1186" s="280" t="s">
        <v>1253</v>
      </c>
      <c r="H1186" s="279" t="s">
        <v>1352</v>
      </c>
      <c r="I1186" s="279" t="s">
        <v>1275</v>
      </c>
      <c r="J1186" s="781">
        <v>1.38</v>
      </c>
      <c r="K1186" s="782"/>
    </row>
    <row r="1187" spans="1:11" ht="21.95" customHeight="1" thickBot="1" x14ac:dyDescent="0.25">
      <c r="A1187" s="282" t="s">
        <v>1276</v>
      </c>
      <c r="B1187" s="282"/>
      <c r="C1187" s="283" t="s">
        <v>2203</v>
      </c>
      <c r="D1187" s="282" t="s">
        <v>1250</v>
      </c>
      <c r="E1187" s="282" t="s">
        <v>2204</v>
      </c>
      <c r="F1187" s="282" t="s">
        <v>1278</v>
      </c>
      <c r="G1187" s="284" t="s">
        <v>52</v>
      </c>
      <c r="H1187" s="283" t="s">
        <v>1262</v>
      </c>
      <c r="I1187" s="283" t="s">
        <v>2205</v>
      </c>
      <c r="J1187" s="770">
        <v>22</v>
      </c>
      <c r="K1187" s="771"/>
    </row>
    <row r="1188" spans="1:11" ht="0.95" customHeight="1" thickTop="1" x14ac:dyDescent="0.2">
      <c r="A1188" s="281"/>
      <c r="B1188" s="281"/>
      <c r="C1188" s="281"/>
      <c r="D1188" s="281"/>
      <c r="E1188" s="281"/>
      <c r="F1188" s="281"/>
      <c r="G1188" s="281"/>
      <c r="H1188" s="281"/>
      <c r="I1188" s="281"/>
      <c r="J1188" s="421"/>
      <c r="K1188" s="421"/>
    </row>
    <row r="1189" spans="1:11" ht="18" customHeight="1" x14ac:dyDescent="0.2">
      <c r="A1189" s="272"/>
      <c r="B1189" s="272" t="s">
        <v>54</v>
      </c>
      <c r="C1189" s="273" t="s">
        <v>1239</v>
      </c>
      <c r="D1189" s="272" t="s">
        <v>1240</v>
      </c>
      <c r="E1189" s="272" t="s">
        <v>1241</v>
      </c>
      <c r="F1189" s="272" t="s">
        <v>1242</v>
      </c>
      <c r="G1189" s="274" t="s">
        <v>60</v>
      </c>
      <c r="H1189" s="273" t="s">
        <v>58</v>
      </c>
      <c r="I1189" s="273" t="s">
        <v>1243</v>
      </c>
      <c r="J1189" s="775" t="s">
        <v>196</v>
      </c>
      <c r="K1189" s="776"/>
    </row>
    <row r="1190" spans="1:11" ht="21.95" customHeight="1" x14ac:dyDescent="0.2">
      <c r="A1190" s="275" t="s">
        <v>1244</v>
      </c>
      <c r="B1190" s="275" t="s">
        <v>4283</v>
      </c>
      <c r="C1190" s="276" t="s">
        <v>2197</v>
      </c>
      <c r="D1190" s="275" t="s">
        <v>1246</v>
      </c>
      <c r="E1190" s="275" t="s">
        <v>345</v>
      </c>
      <c r="F1190" s="275" t="s">
        <v>1252</v>
      </c>
      <c r="G1190" s="277" t="s">
        <v>52</v>
      </c>
      <c r="H1190" s="276">
        <v>1</v>
      </c>
      <c r="I1190" s="276" t="s">
        <v>2198</v>
      </c>
      <c r="J1190" s="777" t="s">
        <v>2198</v>
      </c>
      <c r="K1190" s="778"/>
    </row>
    <row r="1191" spans="1:11" ht="21.95" customHeight="1" x14ac:dyDescent="0.2">
      <c r="A1191" s="278" t="s">
        <v>1248</v>
      </c>
      <c r="B1191" s="278"/>
      <c r="C1191" s="279" t="s">
        <v>1269</v>
      </c>
      <c r="D1191" s="278" t="s">
        <v>1250</v>
      </c>
      <c r="E1191" s="278" t="s">
        <v>1270</v>
      </c>
      <c r="F1191" s="278" t="s">
        <v>1252</v>
      </c>
      <c r="G1191" s="280" t="s">
        <v>1253</v>
      </c>
      <c r="H1191" s="279" t="s">
        <v>1271</v>
      </c>
      <c r="I1191" s="279" t="s">
        <v>1272</v>
      </c>
      <c r="J1191" s="781">
        <v>10.25</v>
      </c>
      <c r="K1191" s="782"/>
    </row>
    <row r="1192" spans="1:11" ht="21.95" customHeight="1" thickBot="1" x14ac:dyDescent="0.25">
      <c r="A1192" s="282" t="s">
        <v>1276</v>
      </c>
      <c r="B1192" s="282"/>
      <c r="C1192" s="283" t="s">
        <v>2199</v>
      </c>
      <c r="D1192" s="282" t="s">
        <v>1250</v>
      </c>
      <c r="E1192" s="282" t="s">
        <v>345</v>
      </c>
      <c r="F1192" s="282" t="s">
        <v>1278</v>
      </c>
      <c r="G1192" s="284" t="s">
        <v>52</v>
      </c>
      <c r="H1192" s="283" t="s">
        <v>1262</v>
      </c>
      <c r="I1192" s="283" t="s">
        <v>2200</v>
      </c>
      <c r="J1192" s="770">
        <v>31.7</v>
      </c>
      <c r="K1192" s="771"/>
    </row>
    <row r="1193" spans="1:11" ht="0.95" customHeight="1" thickTop="1" x14ac:dyDescent="0.2">
      <c r="A1193" s="281"/>
      <c r="B1193" s="281"/>
      <c r="C1193" s="281"/>
      <c r="D1193" s="281"/>
      <c r="E1193" s="281"/>
      <c r="F1193" s="281"/>
      <c r="G1193" s="281"/>
      <c r="H1193" s="281"/>
      <c r="I1193" s="281"/>
      <c r="J1193" s="421"/>
      <c r="K1193" s="421"/>
    </row>
    <row r="1194" spans="1:11" ht="18" customHeight="1" x14ac:dyDescent="0.2">
      <c r="A1194" s="272"/>
      <c r="B1194" s="272" t="s">
        <v>54</v>
      </c>
      <c r="C1194" s="273" t="s">
        <v>1239</v>
      </c>
      <c r="D1194" s="272" t="s">
        <v>1240</v>
      </c>
      <c r="E1194" s="272" t="s">
        <v>1241</v>
      </c>
      <c r="F1194" s="272" t="s">
        <v>1242</v>
      </c>
      <c r="G1194" s="274" t="s">
        <v>60</v>
      </c>
      <c r="H1194" s="273" t="s">
        <v>58</v>
      </c>
      <c r="I1194" s="273" t="s">
        <v>1243</v>
      </c>
      <c r="J1194" s="775" t="s">
        <v>196</v>
      </c>
      <c r="K1194" s="776"/>
    </row>
    <row r="1195" spans="1:11" ht="21.95" customHeight="1" x14ac:dyDescent="0.2">
      <c r="A1195" s="275" t="s">
        <v>1244</v>
      </c>
      <c r="B1195" s="275" t="s">
        <v>4284</v>
      </c>
      <c r="C1195" s="276" t="s">
        <v>4285</v>
      </c>
      <c r="D1195" s="275" t="s">
        <v>1246</v>
      </c>
      <c r="E1195" s="275" t="s">
        <v>3401</v>
      </c>
      <c r="F1195" s="275" t="s">
        <v>1750</v>
      </c>
      <c r="G1195" s="277" t="s">
        <v>52</v>
      </c>
      <c r="H1195" s="276">
        <v>1</v>
      </c>
      <c r="I1195" s="276" t="s">
        <v>4286</v>
      </c>
      <c r="J1195" s="777" t="s">
        <v>4286</v>
      </c>
      <c r="K1195" s="778"/>
    </row>
    <row r="1196" spans="1:11" ht="21.95" customHeight="1" x14ac:dyDescent="0.2">
      <c r="A1196" s="278" t="s">
        <v>1248</v>
      </c>
      <c r="B1196" s="278"/>
      <c r="C1196" s="279" t="s">
        <v>1288</v>
      </c>
      <c r="D1196" s="278" t="s">
        <v>1250</v>
      </c>
      <c r="E1196" s="278" t="s">
        <v>1289</v>
      </c>
      <c r="F1196" s="278" t="s">
        <v>1252</v>
      </c>
      <c r="G1196" s="280" t="s">
        <v>1253</v>
      </c>
      <c r="H1196" s="279" t="s">
        <v>1290</v>
      </c>
      <c r="I1196" s="279" t="s">
        <v>1291</v>
      </c>
      <c r="J1196" s="781">
        <v>57.04</v>
      </c>
      <c r="K1196" s="782"/>
    </row>
    <row r="1197" spans="1:11" ht="21.95" customHeight="1" x14ac:dyDescent="0.2">
      <c r="A1197" s="278" t="s">
        <v>1248</v>
      </c>
      <c r="B1197" s="278"/>
      <c r="C1197" s="279" t="s">
        <v>1292</v>
      </c>
      <c r="D1197" s="278" t="s">
        <v>1250</v>
      </c>
      <c r="E1197" s="278" t="s">
        <v>1293</v>
      </c>
      <c r="F1197" s="278" t="s">
        <v>1252</v>
      </c>
      <c r="G1197" s="280" t="s">
        <v>1253</v>
      </c>
      <c r="H1197" s="279" t="s">
        <v>1290</v>
      </c>
      <c r="I1197" s="279" t="s">
        <v>1295</v>
      </c>
      <c r="J1197" s="781">
        <v>69.959999999999994</v>
      </c>
      <c r="K1197" s="782"/>
    </row>
    <row r="1198" spans="1:11" ht="21.95" customHeight="1" x14ac:dyDescent="0.2">
      <c r="A1198" s="282" t="s">
        <v>1276</v>
      </c>
      <c r="B1198" s="282"/>
      <c r="C1198" s="283" t="s">
        <v>2407</v>
      </c>
      <c r="D1198" s="282" t="s">
        <v>1250</v>
      </c>
      <c r="E1198" s="282" t="s">
        <v>2408</v>
      </c>
      <c r="F1198" s="282" t="s">
        <v>1278</v>
      </c>
      <c r="G1198" s="284" t="s">
        <v>52</v>
      </c>
      <c r="H1198" s="283" t="s">
        <v>1553</v>
      </c>
      <c r="I1198" s="283" t="s">
        <v>2409</v>
      </c>
      <c r="J1198" s="779">
        <v>0.51</v>
      </c>
      <c r="K1198" s="780"/>
    </row>
    <row r="1199" spans="1:11" ht="21.95" customHeight="1" x14ac:dyDescent="0.2">
      <c r="A1199" s="282" t="s">
        <v>1276</v>
      </c>
      <c r="B1199" s="282"/>
      <c r="C1199" s="283" t="s">
        <v>4287</v>
      </c>
      <c r="D1199" s="282" t="s">
        <v>1250</v>
      </c>
      <c r="E1199" s="282" t="s">
        <v>4288</v>
      </c>
      <c r="F1199" s="282" t="s">
        <v>1278</v>
      </c>
      <c r="G1199" s="284" t="s">
        <v>52</v>
      </c>
      <c r="H1199" s="283" t="s">
        <v>1417</v>
      </c>
      <c r="I1199" s="283" t="s">
        <v>4289</v>
      </c>
      <c r="J1199" s="779">
        <v>211.42</v>
      </c>
      <c r="K1199" s="780"/>
    </row>
    <row r="1200" spans="1:11" ht="33" customHeight="1" thickBot="1" x14ac:dyDescent="0.25">
      <c r="A1200" s="282" t="s">
        <v>1276</v>
      </c>
      <c r="B1200" s="282"/>
      <c r="C1200" s="283" t="s">
        <v>4290</v>
      </c>
      <c r="D1200" s="282" t="s">
        <v>1250</v>
      </c>
      <c r="E1200" s="282" t="s">
        <v>4291</v>
      </c>
      <c r="F1200" s="282" t="s">
        <v>1278</v>
      </c>
      <c r="G1200" s="284" t="s">
        <v>52</v>
      </c>
      <c r="H1200" s="283" t="s">
        <v>1262</v>
      </c>
      <c r="I1200" s="283" t="s">
        <v>4292</v>
      </c>
      <c r="J1200" s="770">
        <v>415.59</v>
      </c>
      <c r="K1200" s="771"/>
    </row>
    <row r="1201" spans="1:11" ht="0.95" customHeight="1" thickTop="1" x14ac:dyDescent="0.2">
      <c r="A1201" s="281"/>
      <c r="B1201" s="281"/>
      <c r="C1201" s="281"/>
      <c r="D1201" s="281"/>
      <c r="E1201" s="281"/>
      <c r="F1201" s="281"/>
      <c r="G1201" s="281"/>
      <c r="H1201" s="281"/>
      <c r="I1201" s="281"/>
      <c r="J1201" s="421"/>
      <c r="K1201" s="421"/>
    </row>
    <row r="1202" spans="1:11" ht="18" customHeight="1" x14ac:dyDescent="0.2">
      <c r="A1202" s="272"/>
      <c r="B1202" s="272" t="s">
        <v>54</v>
      </c>
      <c r="C1202" s="273" t="s">
        <v>1239</v>
      </c>
      <c r="D1202" s="272" t="s">
        <v>1240</v>
      </c>
      <c r="E1202" s="272" t="s">
        <v>1241</v>
      </c>
      <c r="F1202" s="272" t="s">
        <v>1242</v>
      </c>
      <c r="G1202" s="274" t="s">
        <v>60</v>
      </c>
      <c r="H1202" s="273" t="s">
        <v>58</v>
      </c>
      <c r="I1202" s="273" t="s">
        <v>1243</v>
      </c>
      <c r="J1202" s="775" t="s">
        <v>196</v>
      </c>
      <c r="K1202" s="776"/>
    </row>
    <row r="1203" spans="1:11" ht="33" customHeight="1" x14ac:dyDescent="0.2">
      <c r="A1203" s="275" t="s">
        <v>1244</v>
      </c>
      <c r="B1203" s="275" t="s">
        <v>4293</v>
      </c>
      <c r="C1203" s="276" t="s">
        <v>4294</v>
      </c>
      <c r="D1203" s="275" t="s">
        <v>1246</v>
      </c>
      <c r="E1203" s="275" t="s">
        <v>3412</v>
      </c>
      <c r="F1203" s="275" t="s">
        <v>1252</v>
      </c>
      <c r="G1203" s="277" t="s">
        <v>52</v>
      </c>
      <c r="H1203" s="276">
        <v>1</v>
      </c>
      <c r="I1203" s="276" t="s">
        <v>4295</v>
      </c>
      <c r="J1203" s="777" t="s">
        <v>4295</v>
      </c>
      <c r="K1203" s="778"/>
    </row>
    <row r="1204" spans="1:11" ht="21.95" customHeight="1" x14ac:dyDescent="0.2">
      <c r="A1204" s="278" t="s">
        <v>1248</v>
      </c>
      <c r="B1204" s="278"/>
      <c r="C1204" s="279" t="s">
        <v>1292</v>
      </c>
      <c r="D1204" s="278" t="s">
        <v>1250</v>
      </c>
      <c r="E1204" s="278" t="s">
        <v>1293</v>
      </c>
      <c r="F1204" s="278" t="s">
        <v>1252</v>
      </c>
      <c r="G1204" s="280" t="s">
        <v>1253</v>
      </c>
      <c r="H1204" s="279" t="s">
        <v>1262</v>
      </c>
      <c r="I1204" s="279" t="s">
        <v>1295</v>
      </c>
      <c r="J1204" s="781">
        <v>17.489999999999998</v>
      </c>
      <c r="K1204" s="782"/>
    </row>
    <row r="1205" spans="1:11" ht="21.95" customHeight="1" x14ac:dyDescent="0.2">
      <c r="A1205" s="282" t="s">
        <v>1276</v>
      </c>
      <c r="B1205" s="282"/>
      <c r="C1205" s="283" t="s">
        <v>2407</v>
      </c>
      <c r="D1205" s="282" t="s">
        <v>1250</v>
      </c>
      <c r="E1205" s="282" t="s">
        <v>2408</v>
      </c>
      <c r="F1205" s="282" t="s">
        <v>1278</v>
      </c>
      <c r="G1205" s="284" t="s">
        <v>52</v>
      </c>
      <c r="H1205" s="283" t="s">
        <v>1443</v>
      </c>
      <c r="I1205" s="283" t="s">
        <v>2409</v>
      </c>
      <c r="J1205" s="779">
        <v>0.2</v>
      </c>
      <c r="K1205" s="780"/>
    </row>
    <row r="1206" spans="1:11" ht="33" customHeight="1" thickBot="1" x14ac:dyDescent="0.25">
      <c r="A1206" s="282" t="s">
        <v>1276</v>
      </c>
      <c r="B1206" s="282"/>
      <c r="C1206" s="283" t="s">
        <v>4296</v>
      </c>
      <c r="D1206" s="282" t="s">
        <v>1246</v>
      </c>
      <c r="E1206" s="282" t="s">
        <v>4297</v>
      </c>
      <c r="F1206" s="282" t="s">
        <v>1278</v>
      </c>
      <c r="G1206" s="284" t="s">
        <v>52</v>
      </c>
      <c r="H1206" s="283" t="s">
        <v>1262</v>
      </c>
      <c r="I1206" s="283" t="s">
        <v>4298</v>
      </c>
      <c r="J1206" s="770">
        <v>1630</v>
      </c>
      <c r="K1206" s="771"/>
    </row>
    <row r="1207" spans="1:11" ht="0.95" customHeight="1" thickTop="1" x14ac:dyDescent="0.2">
      <c r="A1207" s="281"/>
      <c r="B1207" s="281"/>
      <c r="C1207" s="281"/>
      <c r="D1207" s="281"/>
      <c r="E1207" s="281"/>
      <c r="F1207" s="281"/>
      <c r="G1207" s="281"/>
      <c r="H1207" s="281"/>
      <c r="I1207" s="281"/>
      <c r="J1207" s="421"/>
      <c r="K1207" s="421"/>
    </row>
    <row r="1208" spans="1:11" ht="18" customHeight="1" x14ac:dyDescent="0.2">
      <c r="A1208" s="272"/>
      <c r="B1208" s="272" t="s">
        <v>54</v>
      </c>
      <c r="C1208" s="273" t="s">
        <v>1239</v>
      </c>
      <c r="D1208" s="272" t="s">
        <v>1240</v>
      </c>
      <c r="E1208" s="272" t="s">
        <v>1241</v>
      </c>
      <c r="F1208" s="272" t="s">
        <v>1242</v>
      </c>
      <c r="G1208" s="274" t="s">
        <v>60</v>
      </c>
      <c r="H1208" s="273" t="s">
        <v>58</v>
      </c>
      <c r="I1208" s="273" t="s">
        <v>1243</v>
      </c>
      <c r="J1208" s="775" t="s">
        <v>196</v>
      </c>
      <c r="K1208" s="776"/>
    </row>
    <row r="1209" spans="1:11" ht="99" customHeight="1" x14ac:dyDescent="0.2">
      <c r="A1209" s="275" t="s">
        <v>1244</v>
      </c>
      <c r="B1209" s="275" t="s">
        <v>4299</v>
      </c>
      <c r="C1209" s="276" t="s">
        <v>2283</v>
      </c>
      <c r="D1209" s="275" t="s">
        <v>1246</v>
      </c>
      <c r="E1209" s="275" t="s">
        <v>693</v>
      </c>
      <c r="F1209" s="275" t="s">
        <v>1750</v>
      </c>
      <c r="G1209" s="277" t="s">
        <v>52</v>
      </c>
      <c r="H1209" s="276">
        <v>1</v>
      </c>
      <c r="I1209" s="276" t="s">
        <v>2284</v>
      </c>
      <c r="J1209" s="777" t="s">
        <v>2284</v>
      </c>
      <c r="K1209" s="778"/>
    </row>
    <row r="1210" spans="1:11" ht="54.95" customHeight="1" x14ac:dyDescent="0.2">
      <c r="A1210" s="278" t="s">
        <v>1248</v>
      </c>
      <c r="B1210" s="278"/>
      <c r="C1210" s="279" t="s">
        <v>2285</v>
      </c>
      <c r="D1210" s="278" t="s">
        <v>1250</v>
      </c>
      <c r="E1210" s="278" t="s">
        <v>2286</v>
      </c>
      <c r="F1210" s="278" t="s">
        <v>1379</v>
      </c>
      <c r="G1210" s="280" t="s">
        <v>77</v>
      </c>
      <c r="H1210" s="279" t="s">
        <v>1838</v>
      </c>
      <c r="I1210" s="279" t="s">
        <v>2287</v>
      </c>
      <c r="J1210" s="781">
        <v>85.78</v>
      </c>
      <c r="K1210" s="782"/>
    </row>
    <row r="1211" spans="1:11" ht="33" customHeight="1" x14ac:dyDescent="0.2">
      <c r="A1211" s="278" t="s">
        <v>1248</v>
      </c>
      <c r="B1211" s="278"/>
      <c r="C1211" s="279" t="s">
        <v>2288</v>
      </c>
      <c r="D1211" s="278" t="s">
        <v>1250</v>
      </c>
      <c r="E1211" s="278" t="s">
        <v>2289</v>
      </c>
      <c r="F1211" s="278" t="s">
        <v>1351</v>
      </c>
      <c r="G1211" s="280" t="s">
        <v>77</v>
      </c>
      <c r="H1211" s="279" t="s">
        <v>2290</v>
      </c>
      <c r="I1211" s="279" t="s">
        <v>2291</v>
      </c>
      <c r="J1211" s="781">
        <v>9.0500000000000007</v>
      </c>
      <c r="K1211" s="782"/>
    </row>
    <row r="1212" spans="1:11" ht="54.95" customHeight="1" x14ac:dyDescent="0.2">
      <c r="A1212" s="278" t="s">
        <v>1248</v>
      </c>
      <c r="B1212" s="278"/>
      <c r="C1212" s="279" t="s">
        <v>2292</v>
      </c>
      <c r="D1212" s="278" t="s">
        <v>1250</v>
      </c>
      <c r="E1212" s="278" t="s">
        <v>2293</v>
      </c>
      <c r="F1212" s="278" t="s">
        <v>1351</v>
      </c>
      <c r="G1212" s="280" t="s">
        <v>77</v>
      </c>
      <c r="H1212" s="279" t="s">
        <v>2290</v>
      </c>
      <c r="I1212" s="279" t="s">
        <v>2294</v>
      </c>
      <c r="J1212" s="781">
        <v>88.16</v>
      </c>
      <c r="K1212" s="782"/>
    </row>
    <row r="1213" spans="1:11" ht="44.1" customHeight="1" x14ac:dyDescent="0.2">
      <c r="A1213" s="278" t="s">
        <v>1248</v>
      </c>
      <c r="B1213" s="278"/>
      <c r="C1213" s="279" t="s">
        <v>2295</v>
      </c>
      <c r="D1213" s="278" t="s">
        <v>1250</v>
      </c>
      <c r="E1213" s="278" t="s">
        <v>2296</v>
      </c>
      <c r="F1213" s="278" t="s">
        <v>1351</v>
      </c>
      <c r="G1213" s="280" t="s">
        <v>77</v>
      </c>
      <c r="H1213" s="279" t="s">
        <v>2290</v>
      </c>
      <c r="I1213" s="279" t="s">
        <v>2297</v>
      </c>
      <c r="J1213" s="781">
        <v>157.6</v>
      </c>
      <c r="K1213" s="782"/>
    </row>
    <row r="1214" spans="1:11" ht="21.95" customHeight="1" x14ac:dyDescent="0.2">
      <c r="A1214" s="278" t="s">
        <v>1248</v>
      </c>
      <c r="B1214" s="278"/>
      <c r="C1214" s="279" t="s">
        <v>2219</v>
      </c>
      <c r="D1214" s="278" t="s">
        <v>1250</v>
      </c>
      <c r="E1214" s="278" t="s">
        <v>2220</v>
      </c>
      <c r="F1214" s="278" t="s">
        <v>1750</v>
      </c>
      <c r="G1214" s="280" t="s">
        <v>52</v>
      </c>
      <c r="H1214" s="279" t="s">
        <v>1417</v>
      </c>
      <c r="I1214" s="279" t="s">
        <v>2221</v>
      </c>
      <c r="J1214" s="781">
        <v>17.920000000000002</v>
      </c>
      <c r="K1214" s="782"/>
    </row>
    <row r="1215" spans="1:11" ht="33" customHeight="1" x14ac:dyDescent="0.2">
      <c r="A1215" s="278" t="s">
        <v>1248</v>
      </c>
      <c r="B1215" s="278"/>
      <c r="C1215" s="279" t="s">
        <v>2298</v>
      </c>
      <c r="D1215" s="278" t="s">
        <v>1250</v>
      </c>
      <c r="E1215" s="278" t="s">
        <v>2299</v>
      </c>
      <c r="F1215" s="278" t="s">
        <v>1750</v>
      </c>
      <c r="G1215" s="280" t="s">
        <v>52</v>
      </c>
      <c r="H1215" s="279" t="s">
        <v>1417</v>
      </c>
      <c r="I1215" s="279" t="s">
        <v>2300</v>
      </c>
      <c r="J1215" s="781">
        <v>64.3</v>
      </c>
      <c r="K1215" s="782"/>
    </row>
    <row r="1216" spans="1:11" ht="33" customHeight="1" x14ac:dyDescent="0.2">
      <c r="A1216" s="278" t="s">
        <v>1248</v>
      </c>
      <c r="B1216" s="278"/>
      <c r="C1216" s="279" t="s">
        <v>2301</v>
      </c>
      <c r="D1216" s="278" t="s">
        <v>1250</v>
      </c>
      <c r="E1216" s="278" t="s">
        <v>2302</v>
      </c>
      <c r="F1216" s="278" t="s">
        <v>1750</v>
      </c>
      <c r="G1216" s="280" t="s">
        <v>52</v>
      </c>
      <c r="H1216" s="279" t="s">
        <v>1417</v>
      </c>
      <c r="I1216" s="279" t="s">
        <v>2303</v>
      </c>
      <c r="J1216" s="781">
        <v>79.8</v>
      </c>
      <c r="K1216" s="782"/>
    </row>
    <row r="1217" spans="1:11" ht="21.95" customHeight="1" thickBot="1" x14ac:dyDescent="0.25">
      <c r="A1217" s="282" t="s">
        <v>1276</v>
      </c>
      <c r="B1217" s="282"/>
      <c r="C1217" s="283" t="s">
        <v>2304</v>
      </c>
      <c r="D1217" s="282" t="s">
        <v>1246</v>
      </c>
      <c r="E1217" s="282" t="s">
        <v>841</v>
      </c>
      <c r="F1217" s="282" t="s">
        <v>1278</v>
      </c>
      <c r="G1217" s="284" t="s">
        <v>52</v>
      </c>
      <c r="H1217" s="283" t="s">
        <v>1262</v>
      </c>
      <c r="I1217" s="283" t="s">
        <v>2305</v>
      </c>
      <c r="J1217" s="770">
        <v>4100</v>
      </c>
      <c r="K1217" s="771"/>
    </row>
    <row r="1218" spans="1:11" ht="0.95" customHeight="1" thickTop="1" x14ac:dyDescent="0.2">
      <c r="A1218" s="281"/>
      <c r="B1218" s="281"/>
      <c r="C1218" s="281"/>
      <c r="D1218" s="281"/>
      <c r="E1218" s="281"/>
      <c r="F1218" s="281"/>
      <c r="G1218" s="281"/>
      <c r="H1218" s="281"/>
      <c r="I1218" s="281"/>
      <c r="J1218" s="421"/>
      <c r="K1218" s="421"/>
    </row>
    <row r="1219" spans="1:11" ht="18" customHeight="1" x14ac:dyDescent="0.2">
      <c r="A1219" s="272"/>
      <c r="B1219" s="272" t="s">
        <v>54</v>
      </c>
      <c r="C1219" s="273" t="s">
        <v>1239</v>
      </c>
      <c r="D1219" s="272" t="s">
        <v>1240</v>
      </c>
      <c r="E1219" s="272" t="s">
        <v>1241</v>
      </c>
      <c r="F1219" s="272" t="s">
        <v>1242</v>
      </c>
      <c r="G1219" s="274" t="s">
        <v>60</v>
      </c>
      <c r="H1219" s="273" t="s">
        <v>58</v>
      </c>
      <c r="I1219" s="273" t="s">
        <v>1243</v>
      </c>
      <c r="J1219" s="775" t="s">
        <v>196</v>
      </c>
      <c r="K1219" s="776"/>
    </row>
    <row r="1220" spans="1:11" ht="87.95" customHeight="1" x14ac:dyDescent="0.2">
      <c r="A1220" s="275" t="s">
        <v>1244</v>
      </c>
      <c r="B1220" s="275" t="s">
        <v>4300</v>
      </c>
      <c r="C1220" s="276" t="s">
        <v>4301</v>
      </c>
      <c r="D1220" s="275" t="s">
        <v>1246</v>
      </c>
      <c r="E1220" s="275" t="s">
        <v>3417</v>
      </c>
      <c r="F1220" s="275" t="s">
        <v>1750</v>
      </c>
      <c r="G1220" s="277" t="s">
        <v>52</v>
      </c>
      <c r="H1220" s="276">
        <v>1</v>
      </c>
      <c r="I1220" s="276" t="s">
        <v>4302</v>
      </c>
      <c r="J1220" s="777" t="s">
        <v>4302</v>
      </c>
      <c r="K1220" s="778"/>
    </row>
    <row r="1221" spans="1:11" ht="54.95" customHeight="1" x14ac:dyDescent="0.2">
      <c r="A1221" s="278" t="s">
        <v>1248</v>
      </c>
      <c r="B1221" s="278"/>
      <c r="C1221" s="279" t="s">
        <v>2285</v>
      </c>
      <c r="D1221" s="278" t="s">
        <v>1250</v>
      </c>
      <c r="E1221" s="278" t="s">
        <v>2286</v>
      </c>
      <c r="F1221" s="278" t="s">
        <v>1379</v>
      </c>
      <c r="G1221" s="280" t="s">
        <v>77</v>
      </c>
      <c r="H1221" s="279" t="s">
        <v>1838</v>
      </c>
      <c r="I1221" s="279" t="s">
        <v>2287</v>
      </c>
      <c r="J1221" s="781">
        <v>85.78</v>
      </c>
      <c r="K1221" s="782"/>
    </row>
    <row r="1222" spans="1:11" ht="33" customHeight="1" x14ac:dyDescent="0.2">
      <c r="A1222" s="278" t="s">
        <v>1248</v>
      </c>
      <c r="B1222" s="278"/>
      <c r="C1222" s="279" t="s">
        <v>2288</v>
      </c>
      <c r="D1222" s="278" t="s">
        <v>1250</v>
      </c>
      <c r="E1222" s="278" t="s">
        <v>2289</v>
      </c>
      <c r="F1222" s="278" t="s">
        <v>1351</v>
      </c>
      <c r="G1222" s="280" t="s">
        <v>77</v>
      </c>
      <c r="H1222" s="279" t="s">
        <v>2290</v>
      </c>
      <c r="I1222" s="279" t="s">
        <v>2291</v>
      </c>
      <c r="J1222" s="781">
        <v>9.0500000000000007</v>
      </c>
      <c r="K1222" s="782"/>
    </row>
    <row r="1223" spans="1:11" ht="54.95" customHeight="1" x14ac:dyDescent="0.2">
      <c r="A1223" s="278" t="s">
        <v>1248</v>
      </c>
      <c r="B1223" s="278"/>
      <c r="C1223" s="279" t="s">
        <v>2292</v>
      </c>
      <c r="D1223" s="278" t="s">
        <v>1250</v>
      </c>
      <c r="E1223" s="278" t="s">
        <v>2293</v>
      </c>
      <c r="F1223" s="278" t="s">
        <v>1351</v>
      </c>
      <c r="G1223" s="280" t="s">
        <v>77</v>
      </c>
      <c r="H1223" s="279" t="s">
        <v>2290</v>
      </c>
      <c r="I1223" s="279" t="s">
        <v>2294</v>
      </c>
      <c r="J1223" s="781">
        <v>88.16</v>
      </c>
      <c r="K1223" s="782"/>
    </row>
    <row r="1224" spans="1:11" ht="44.1" customHeight="1" x14ac:dyDescent="0.2">
      <c r="A1224" s="278" t="s">
        <v>1248</v>
      </c>
      <c r="B1224" s="278"/>
      <c r="C1224" s="279" t="s">
        <v>2295</v>
      </c>
      <c r="D1224" s="278" t="s">
        <v>1250</v>
      </c>
      <c r="E1224" s="278" t="s">
        <v>2296</v>
      </c>
      <c r="F1224" s="278" t="s">
        <v>1351</v>
      </c>
      <c r="G1224" s="280" t="s">
        <v>77</v>
      </c>
      <c r="H1224" s="279" t="s">
        <v>2290</v>
      </c>
      <c r="I1224" s="279" t="s">
        <v>2297</v>
      </c>
      <c r="J1224" s="781">
        <v>157.6</v>
      </c>
      <c r="K1224" s="782"/>
    </row>
    <row r="1225" spans="1:11" ht="21.95" customHeight="1" x14ac:dyDescent="0.2">
      <c r="A1225" s="278" t="s">
        <v>1248</v>
      </c>
      <c r="B1225" s="278"/>
      <c r="C1225" s="279" t="s">
        <v>2219</v>
      </c>
      <c r="D1225" s="278" t="s">
        <v>1250</v>
      </c>
      <c r="E1225" s="278" t="s">
        <v>2220</v>
      </c>
      <c r="F1225" s="278" t="s">
        <v>1750</v>
      </c>
      <c r="G1225" s="280" t="s">
        <v>52</v>
      </c>
      <c r="H1225" s="279" t="s">
        <v>1262</v>
      </c>
      <c r="I1225" s="279" t="s">
        <v>2221</v>
      </c>
      <c r="J1225" s="781">
        <v>8.9600000000000009</v>
      </c>
      <c r="K1225" s="782"/>
    </row>
    <row r="1226" spans="1:11" ht="33" customHeight="1" x14ac:dyDescent="0.2">
      <c r="A1226" s="278" t="s">
        <v>1248</v>
      </c>
      <c r="B1226" s="278"/>
      <c r="C1226" s="279" t="s">
        <v>2298</v>
      </c>
      <c r="D1226" s="278" t="s">
        <v>1250</v>
      </c>
      <c r="E1226" s="278" t="s">
        <v>2299</v>
      </c>
      <c r="F1226" s="278" t="s">
        <v>1750</v>
      </c>
      <c r="G1226" s="280" t="s">
        <v>52</v>
      </c>
      <c r="H1226" s="279" t="s">
        <v>1262</v>
      </c>
      <c r="I1226" s="279" t="s">
        <v>2300</v>
      </c>
      <c r="J1226" s="781">
        <v>32.15</v>
      </c>
      <c r="K1226" s="782"/>
    </row>
    <row r="1227" spans="1:11" ht="33" customHeight="1" x14ac:dyDescent="0.2">
      <c r="A1227" s="278" t="s">
        <v>1248</v>
      </c>
      <c r="B1227" s="278"/>
      <c r="C1227" s="279" t="s">
        <v>2301</v>
      </c>
      <c r="D1227" s="278" t="s">
        <v>1250</v>
      </c>
      <c r="E1227" s="278" t="s">
        <v>2302</v>
      </c>
      <c r="F1227" s="278" t="s">
        <v>1750</v>
      </c>
      <c r="G1227" s="280" t="s">
        <v>52</v>
      </c>
      <c r="H1227" s="279" t="s">
        <v>1262</v>
      </c>
      <c r="I1227" s="279" t="s">
        <v>2303</v>
      </c>
      <c r="J1227" s="781">
        <v>39.9</v>
      </c>
      <c r="K1227" s="782"/>
    </row>
    <row r="1228" spans="1:11" ht="21.95" customHeight="1" thickBot="1" x14ac:dyDescent="0.25">
      <c r="A1228" s="282" t="s">
        <v>1276</v>
      </c>
      <c r="B1228" s="282"/>
      <c r="C1228" s="283" t="s">
        <v>4303</v>
      </c>
      <c r="D1228" s="282" t="s">
        <v>1246</v>
      </c>
      <c r="E1228" s="282" t="s">
        <v>3843</v>
      </c>
      <c r="F1228" s="282" t="s">
        <v>1278</v>
      </c>
      <c r="G1228" s="284" t="s">
        <v>52</v>
      </c>
      <c r="H1228" s="283" t="s">
        <v>1262</v>
      </c>
      <c r="I1228" s="283" t="s">
        <v>4304</v>
      </c>
      <c r="J1228" s="770">
        <v>2400</v>
      </c>
      <c r="K1228" s="771"/>
    </row>
    <row r="1229" spans="1:11" ht="0.95" customHeight="1" thickTop="1" x14ac:dyDescent="0.2">
      <c r="A1229" s="281"/>
      <c r="B1229" s="281"/>
      <c r="C1229" s="281"/>
      <c r="D1229" s="281"/>
      <c r="E1229" s="281"/>
      <c r="F1229" s="281"/>
      <c r="G1229" s="281"/>
      <c r="H1229" s="281"/>
      <c r="I1229" s="281"/>
      <c r="J1229" s="421"/>
      <c r="K1229" s="421"/>
    </row>
    <row r="1230" spans="1:11" ht="18" customHeight="1" x14ac:dyDescent="0.2">
      <c r="A1230" s="272"/>
      <c r="B1230" s="272" t="s">
        <v>54</v>
      </c>
      <c r="C1230" s="273" t="s">
        <v>1239</v>
      </c>
      <c r="D1230" s="272" t="s">
        <v>1240</v>
      </c>
      <c r="E1230" s="272" t="s">
        <v>1241</v>
      </c>
      <c r="F1230" s="272" t="s">
        <v>1242</v>
      </c>
      <c r="G1230" s="274" t="s">
        <v>60</v>
      </c>
      <c r="H1230" s="273" t="s">
        <v>58</v>
      </c>
      <c r="I1230" s="273" t="s">
        <v>1243</v>
      </c>
      <c r="J1230" s="775" t="s">
        <v>196</v>
      </c>
      <c r="K1230" s="776"/>
    </row>
    <row r="1231" spans="1:11" ht="87.95" customHeight="1" x14ac:dyDescent="0.2">
      <c r="A1231" s="275" t="s">
        <v>1244</v>
      </c>
      <c r="B1231" s="275" t="s">
        <v>4305</v>
      </c>
      <c r="C1231" s="276" t="s">
        <v>4306</v>
      </c>
      <c r="D1231" s="275" t="s">
        <v>1246</v>
      </c>
      <c r="E1231" s="275" t="s">
        <v>3419</v>
      </c>
      <c r="F1231" s="275" t="s">
        <v>1750</v>
      </c>
      <c r="G1231" s="277" t="s">
        <v>52</v>
      </c>
      <c r="H1231" s="276">
        <v>1</v>
      </c>
      <c r="I1231" s="276" t="s">
        <v>4307</v>
      </c>
      <c r="J1231" s="777" t="s">
        <v>4307</v>
      </c>
      <c r="K1231" s="778"/>
    </row>
    <row r="1232" spans="1:11" ht="54.95" customHeight="1" x14ac:dyDescent="0.2">
      <c r="A1232" s="278" t="s">
        <v>1248</v>
      </c>
      <c r="B1232" s="278"/>
      <c r="C1232" s="279" t="s">
        <v>2285</v>
      </c>
      <c r="D1232" s="278" t="s">
        <v>1250</v>
      </c>
      <c r="E1232" s="278" t="s">
        <v>2286</v>
      </c>
      <c r="F1232" s="278" t="s">
        <v>1379</v>
      </c>
      <c r="G1232" s="280" t="s">
        <v>77</v>
      </c>
      <c r="H1232" s="279" t="s">
        <v>1838</v>
      </c>
      <c r="I1232" s="279" t="s">
        <v>2287</v>
      </c>
      <c r="J1232" s="781">
        <v>85.78</v>
      </c>
      <c r="K1232" s="782"/>
    </row>
    <row r="1233" spans="1:11" ht="33" customHeight="1" x14ac:dyDescent="0.2">
      <c r="A1233" s="278" t="s">
        <v>1248</v>
      </c>
      <c r="B1233" s="278"/>
      <c r="C1233" s="279" t="s">
        <v>2288</v>
      </c>
      <c r="D1233" s="278" t="s">
        <v>1250</v>
      </c>
      <c r="E1233" s="278" t="s">
        <v>2289</v>
      </c>
      <c r="F1233" s="278" t="s">
        <v>1351</v>
      </c>
      <c r="G1233" s="280" t="s">
        <v>77</v>
      </c>
      <c r="H1233" s="279" t="s">
        <v>2290</v>
      </c>
      <c r="I1233" s="279" t="s">
        <v>2291</v>
      </c>
      <c r="J1233" s="781">
        <v>9.0500000000000007</v>
      </c>
      <c r="K1233" s="782"/>
    </row>
    <row r="1234" spans="1:11" ht="54.95" customHeight="1" x14ac:dyDescent="0.2">
      <c r="A1234" s="278" t="s">
        <v>1248</v>
      </c>
      <c r="B1234" s="278"/>
      <c r="C1234" s="279" t="s">
        <v>2292</v>
      </c>
      <c r="D1234" s="278" t="s">
        <v>1250</v>
      </c>
      <c r="E1234" s="278" t="s">
        <v>2293</v>
      </c>
      <c r="F1234" s="278" t="s">
        <v>1351</v>
      </c>
      <c r="G1234" s="280" t="s">
        <v>77</v>
      </c>
      <c r="H1234" s="279" t="s">
        <v>2290</v>
      </c>
      <c r="I1234" s="279" t="s">
        <v>2294</v>
      </c>
      <c r="J1234" s="781">
        <v>88.16</v>
      </c>
      <c r="K1234" s="782"/>
    </row>
    <row r="1235" spans="1:11" ht="44.1" customHeight="1" x14ac:dyDescent="0.2">
      <c r="A1235" s="278" t="s">
        <v>1248</v>
      </c>
      <c r="B1235" s="278"/>
      <c r="C1235" s="279" t="s">
        <v>2295</v>
      </c>
      <c r="D1235" s="278" t="s">
        <v>1250</v>
      </c>
      <c r="E1235" s="278" t="s">
        <v>2296</v>
      </c>
      <c r="F1235" s="278" t="s">
        <v>1351</v>
      </c>
      <c r="G1235" s="280" t="s">
        <v>77</v>
      </c>
      <c r="H1235" s="279" t="s">
        <v>2290</v>
      </c>
      <c r="I1235" s="279" t="s">
        <v>2297</v>
      </c>
      <c r="J1235" s="781">
        <v>157.6</v>
      </c>
      <c r="K1235" s="782"/>
    </row>
    <row r="1236" spans="1:11" ht="21.95" customHeight="1" x14ac:dyDescent="0.2">
      <c r="A1236" s="278" t="s">
        <v>1248</v>
      </c>
      <c r="B1236" s="278"/>
      <c r="C1236" s="279" t="s">
        <v>2219</v>
      </c>
      <c r="D1236" s="278" t="s">
        <v>1250</v>
      </c>
      <c r="E1236" s="278" t="s">
        <v>2220</v>
      </c>
      <c r="F1236" s="278" t="s">
        <v>1750</v>
      </c>
      <c r="G1236" s="280" t="s">
        <v>52</v>
      </c>
      <c r="H1236" s="279" t="s">
        <v>1262</v>
      </c>
      <c r="I1236" s="279" t="s">
        <v>2221</v>
      </c>
      <c r="J1236" s="781">
        <v>8.9600000000000009</v>
      </c>
      <c r="K1236" s="782"/>
    </row>
    <row r="1237" spans="1:11" ht="33" customHeight="1" x14ac:dyDescent="0.2">
      <c r="A1237" s="278" t="s">
        <v>1248</v>
      </c>
      <c r="B1237" s="278"/>
      <c r="C1237" s="279" t="s">
        <v>2298</v>
      </c>
      <c r="D1237" s="278" t="s">
        <v>1250</v>
      </c>
      <c r="E1237" s="278" t="s">
        <v>2299</v>
      </c>
      <c r="F1237" s="278" t="s">
        <v>1750</v>
      </c>
      <c r="G1237" s="280" t="s">
        <v>52</v>
      </c>
      <c r="H1237" s="279" t="s">
        <v>1262</v>
      </c>
      <c r="I1237" s="279" t="s">
        <v>2300</v>
      </c>
      <c r="J1237" s="781">
        <v>32.15</v>
      </c>
      <c r="K1237" s="782"/>
    </row>
    <row r="1238" spans="1:11" ht="33" customHeight="1" x14ac:dyDescent="0.2">
      <c r="A1238" s="278" t="s">
        <v>1248</v>
      </c>
      <c r="B1238" s="278"/>
      <c r="C1238" s="279" t="s">
        <v>2301</v>
      </c>
      <c r="D1238" s="278" t="s">
        <v>1250</v>
      </c>
      <c r="E1238" s="278" t="s">
        <v>2302</v>
      </c>
      <c r="F1238" s="278" t="s">
        <v>1750</v>
      </c>
      <c r="G1238" s="280" t="s">
        <v>52</v>
      </c>
      <c r="H1238" s="279" t="s">
        <v>1262</v>
      </c>
      <c r="I1238" s="279" t="s">
        <v>2303</v>
      </c>
      <c r="J1238" s="781">
        <v>39.9</v>
      </c>
      <c r="K1238" s="782"/>
    </row>
    <row r="1239" spans="1:11" ht="21.95" customHeight="1" thickBot="1" x14ac:dyDescent="0.25">
      <c r="A1239" s="282" t="s">
        <v>1276</v>
      </c>
      <c r="B1239" s="282"/>
      <c r="C1239" s="283" t="s">
        <v>4308</v>
      </c>
      <c r="D1239" s="282" t="s">
        <v>1246</v>
      </c>
      <c r="E1239" s="282" t="s">
        <v>3835</v>
      </c>
      <c r="F1239" s="282" t="s">
        <v>1278</v>
      </c>
      <c r="G1239" s="284" t="s">
        <v>52</v>
      </c>
      <c r="H1239" s="283" t="s">
        <v>1262</v>
      </c>
      <c r="I1239" s="283" t="s">
        <v>4309</v>
      </c>
      <c r="J1239" s="770">
        <v>3900</v>
      </c>
      <c r="K1239" s="771"/>
    </row>
    <row r="1240" spans="1:11" ht="0.95" customHeight="1" thickTop="1" x14ac:dyDescent="0.2">
      <c r="A1240" s="281"/>
      <c r="B1240" s="281"/>
      <c r="C1240" s="281"/>
      <c r="D1240" s="281"/>
      <c r="E1240" s="281"/>
      <c r="F1240" s="281"/>
      <c r="G1240" s="281"/>
      <c r="H1240" s="281"/>
      <c r="I1240" s="281"/>
      <c r="J1240" s="421"/>
      <c r="K1240" s="421"/>
    </row>
    <row r="1241" spans="1:11" ht="18" customHeight="1" x14ac:dyDescent="0.2">
      <c r="A1241" s="272"/>
      <c r="B1241" s="272" t="s">
        <v>54</v>
      </c>
      <c r="C1241" s="273" t="s">
        <v>1239</v>
      </c>
      <c r="D1241" s="272" t="s">
        <v>1240</v>
      </c>
      <c r="E1241" s="272" t="s">
        <v>1241</v>
      </c>
      <c r="F1241" s="272" t="s">
        <v>1242</v>
      </c>
      <c r="G1241" s="274" t="s">
        <v>60</v>
      </c>
      <c r="H1241" s="273" t="s">
        <v>58</v>
      </c>
      <c r="I1241" s="273" t="s">
        <v>1243</v>
      </c>
      <c r="J1241" s="775" t="s">
        <v>196</v>
      </c>
      <c r="K1241" s="776"/>
    </row>
    <row r="1242" spans="1:11" ht="21.95" customHeight="1" x14ac:dyDescent="0.2">
      <c r="A1242" s="275" t="s">
        <v>1244</v>
      </c>
      <c r="B1242" s="275" t="s">
        <v>4310</v>
      </c>
      <c r="C1242" s="276" t="s">
        <v>2319</v>
      </c>
      <c r="D1242" s="275" t="s">
        <v>1246</v>
      </c>
      <c r="E1242" s="275" t="s">
        <v>696</v>
      </c>
      <c r="F1242" s="275" t="s">
        <v>1750</v>
      </c>
      <c r="G1242" s="277" t="s">
        <v>52</v>
      </c>
      <c r="H1242" s="276">
        <v>1</v>
      </c>
      <c r="I1242" s="276" t="s">
        <v>2320</v>
      </c>
      <c r="J1242" s="777" t="s">
        <v>2320</v>
      </c>
      <c r="K1242" s="778"/>
    </row>
    <row r="1243" spans="1:11" ht="21.95" customHeight="1" x14ac:dyDescent="0.2">
      <c r="A1243" s="278" t="s">
        <v>1248</v>
      </c>
      <c r="B1243" s="278"/>
      <c r="C1243" s="279" t="s">
        <v>1292</v>
      </c>
      <c r="D1243" s="278" t="s">
        <v>1250</v>
      </c>
      <c r="E1243" s="278" t="s">
        <v>1293</v>
      </c>
      <c r="F1243" s="278" t="s">
        <v>1252</v>
      </c>
      <c r="G1243" s="280" t="s">
        <v>1253</v>
      </c>
      <c r="H1243" s="279" t="s">
        <v>1987</v>
      </c>
      <c r="I1243" s="279" t="s">
        <v>1295</v>
      </c>
      <c r="J1243" s="781">
        <v>5.94</v>
      </c>
      <c r="K1243" s="782"/>
    </row>
    <row r="1244" spans="1:11" ht="21.95" customHeight="1" x14ac:dyDescent="0.2">
      <c r="A1244" s="278" t="s">
        <v>1248</v>
      </c>
      <c r="B1244" s="278"/>
      <c r="C1244" s="279" t="s">
        <v>1273</v>
      </c>
      <c r="D1244" s="278" t="s">
        <v>1250</v>
      </c>
      <c r="E1244" s="278" t="s">
        <v>1274</v>
      </c>
      <c r="F1244" s="278" t="s">
        <v>1252</v>
      </c>
      <c r="G1244" s="280" t="s">
        <v>1253</v>
      </c>
      <c r="H1244" s="279" t="s">
        <v>1987</v>
      </c>
      <c r="I1244" s="279" t="s">
        <v>1275</v>
      </c>
      <c r="J1244" s="781">
        <v>4.72</v>
      </c>
      <c r="K1244" s="782"/>
    </row>
    <row r="1245" spans="1:11" ht="21.95" customHeight="1" x14ac:dyDescent="0.2">
      <c r="A1245" s="282" t="s">
        <v>1276</v>
      </c>
      <c r="B1245" s="282"/>
      <c r="C1245" s="283" t="s">
        <v>1928</v>
      </c>
      <c r="D1245" s="282" t="s">
        <v>1250</v>
      </c>
      <c r="E1245" s="282" t="s">
        <v>1929</v>
      </c>
      <c r="F1245" s="282" t="s">
        <v>1278</v>
      </c>
      <c r="G1245" s="284" t="s">
        <v>52</v>
      </c>
      <c r="H1245" s="283" t="s">
        <v>1356</v>
      </c>
      <c r="I1245" s="283" t="s">
        <v>1931</v>
      </c>
      <c r="J1245" s="779">
        <v>0.83</v>
      </c>
      <c r="K1245" s="780"/>
    </row>
    <row r="1246" spans="1:11" ht="21.95" customHeight="1" thickBot="1" x14ac:dyDescent="0.25">
      <c r="A1246" s="282" t="s">
        <v>1276</v>
      </c>
      <c r="B1246" s="282"/>
      <c r="C1246" s="283" t="s">
        <v>2321</v>
      </c>
      <c r="D1246" s="282" t="s">
        <v>1250</v>
      </c>
      <c r="E1246" s="282" t="s">
        <v>2322</v>
      </c>
      <c r="F1246" s="282" t="s">
        <v>1278</v>
      </c>
      <c r="G1246" s="284" t="s">
        <v>52</v>
      </c>
      <c r="H1246" s="283" t="s">
        <v>1262</v>
      </c>
      <c r="I1246" s="283" t="s">
        <v>2323</v>
      </c>
      <c r="J1246" s="770">
        <v>149.91999999999999</v>
      </c>
      <c r="K1246" s="771"/>
    </row>
    <row r="1247" spans="1:11" ht="0.95" customHeight="1" thickTop="1" x14ac:dyDescent="0.2">
      <c r="A1247" s="281"/>
      <c r="B1247" s="281"/>
      <c r="C1247" s="281"/>
      <c r="D1247" s="281"/>
      <c r="E1247" s="281"/>
      <c r="F1247" s="281"/>
      <c r="G1247" s="281"/>
      <c r="H1247" s="281"/>
      <c r="I1247" s="281"/>
      <c r="J1247" s="421"/>
      <c r="K1247" s="421"/>
    </row>
    <row r="1248" spans="1:11" ht="18" customHeight="1" x14ac:dyDescent="0.2">
      <c r="A1248" s="272"/>
      <c r="B1248" s="272" t="s">
        <v>54</v>
      </c>
      <c r="C1248" s="273" t="s">
        <v>1239</v>
      </c>
      <c r="D1248" s="272" t="s">
        <v>1240</v>
      </c>
      <c r="E1248" s="272" t="s">
        <v>1241</v>
      </c>
      <c r="F1248" s="272" t="s">
        <v>1242</v>
      </c>
      <c r="G1248" s="274" t="s">
        <v>60</v>
      </c>
      <c r="H1248" s="273" t="s">
        <v>58</v>
      </c>
      <c r="I1248" s="273" t="s">
        <v>1243</v>
      </c>
      <c r="J1248" s="775" t="s">
        <v>196</v>
      </c>
      <c r="K1248" s="776"/>
    </row>
    <row r="1249" spans="1:11" ht="33" customHeight="1" x14ac:dyDescent="0.2">
      <c r="A1249" s="275" t="s">
        <v>1244</v>
      </c>
      <c r="B1249" s="275" t="s">
        <v>4311</v>
      </c>
      <c r="C1249" s="276" t="s">
        <v>2306</v>
      </c>
      <c r="D1249" s="275" t="s">
        <v>1246</v>
      </c>
      <c r="E1249" s="275" t="s">
        <v>694</v>
      </c>
      <c r="F1249" s="275" t="s">
        <v>1750</v>
      </c>
      <c r="G1249" s="277" t="s">
        <v>52</v>
      </c>
      <c r="H1249" s="276">
        <v>1</v>
      </c>
      <c r="I1249" s="276" t="s">
        <v>2307</v>
      </c>
      <c r="J1249" s="777" t="s">
        <v>2307</v>
      </c>
      <c r="K1249" s="778"/>
    </row>
    <row r="1250" spans="1:11" ht="44.1" customHeight="1" x14ac:dyDescent="0.2">
      <c r="A1250" s="278" t="s">
        <v>1248</v>
      </c>
      <c r="B1250" s="278"/>
      <c r="C1250" s="279" t="s">
        <v>2308</v>
      </c>
      <c r="D1250" s="278" t="s">
        <v>1250</v>
      </c>
      <c r="E1250" s="278" t="s">
        <v>2309</v>
      </c>
      <c r="F1250" s="278" t="s">
        <v>1379</v>
      </c>
      <c r="G1250" s="280" t="s">
        <v>77</v>
      </c>
      <c r="H1250" s="279" t="s">
        <v>2310</v>
      </c>
      <c r="I1250" s="279" t="s">
        <v>2311</v>
      </c>
      <c r="J1250" s="781">
        <v>61.21</v>
      </c>
      <c r="K1250" s="782"/>
    </row>
    <row r="1251" spans="1:11" ht="44.1" customHeight="1" x14ac:dyDescent="0.2">
      <c r="A1251" s="278" t="s">
        <v>1248</v>
      </c>
      <c r="B1251" s="278"/>
      <c r="C1251" s="279" t="s">
        <v>1815</v>
      </c>
      <c r="D1251" s="278" t="s">
        <v>1250</v>
      </c>
      <c r="E1251" s="278" t="s">
        <v>1816</v>
      </c>
      <c r="F1251" s="278" t="s">
        <v>1351</v>
      </c>
      <c r="G1251" s="280" t="s">
        <v>77</v>
      </c>
      <c r="H1251" s="279" t="s">
        <v>2312</v>
      </c>
      <c r="I1251" s="279" t="s">
        <v>1818</v>
      </c>
      <c r="J1251" s="781">
        <v>5.57</v>
      </c>
      <c r="K1251" s="782"/>
    </row>
    <row r="1252" spans="1:11" ht="54.95" customHeight="1" x14ac:dyDescent="0.2">
      <c r="A1252" s="278" t="s">
        <v>1248</v>
      </c>
      <c r="B1252" s="278"/>
      <c r="C1252" s="279" t="s">
        <v>1381</v>
      </c>
      <c r="D1252" s="278" t="s">
        <v>1250</v>
      </c>
      <c r="E1252" s="278" t="s">
        <v>324</v>
      </c>
      <c r="F1252" s="278" t="s">
        <v>1351</v>
      </c>
      <c r="G1252" s="280" t="s">
        <v>77</v>
      </c>
      <c r="H1252" s="279" t="s">
        <v>2312</v>
      </c>
      <c r="I1252" s="279" t="s">
        <v>1383</v>
      </c>
      <c r="J1252" s="781">
        <v>50.22</v>
      </c>
      <c r="K1252" s="782"/>
    </row>
    <row r="1253" spans="1:11" ht="21.95" customHeight="1" x14ac:dyDescent="0.2">
      <c r="A1253" s="278" t="s">
        <v>1248</v>
      </c>
      <c r="B1253" s="278"/>
      <c r="C1253" s="279" t="s">
        <v>2219</v>
      </c>
      <c r="D1253" s="278" t="s">
        <v>1250</v>
      </c>
      <c r="E1253" s="278" t="s">
        <v>2220</v>
      </c>
      <c r="F1253" s="278" t="s">
        <v>1750</v>
      </c>
      <c r="G1253" s="280" t="s">
        <v>52</v>
      </c>
      <c r="H1253" s="279" t="s">
        <v>1417</v>
      </c>
      <c r="I1253" s="279" t="s">
        <v>2221</v>
      </c>
      <c r="J1253" s="781">
        <v>17.920000000000002</v>
      </c>
      <c r="K1253" s="782"/>
    </row>
    <row r="1254" spans="1:11" ht="21.95" customHeight="1" x14ac:dyDescent="0.2">
      <c r="A1254" s="278" t="s">
        <v>1248</v>
      </c>
      <c r="B1254" s="278"/>
      <c r="C1254" s="279" t="s">
        <v>2313</v>
      </c>
      <c r="D1254" s="278" t="s">
        <v>1250</v>
      </c>
      <c r="E1254" s="278" t="s">
        <v>2314</v>
      </c>
      <c r="F1254" s="278" t="s">
        <v>1750</v>
      </c>
      <c r="G1254" s="280" t="s">
        <v>52</v>
      </c>
      <c r="H1254" s="279" t="s">
        <v>1417</v>
      </c>
      <c r="I1254" s="279" t="s">
        <v>2315</v>
      </c>
      <c r="J1254" s="781">
        <v>72.38</v>
      </c>
      <c r="K1254" s="782"/>
    </row>
    <row r="1255" spans="1:11" ht="33" customHeight="1" x14ac:dyDescent="0.2">
      <c r="A1255" s="278" t="s">
        <v>1248</v>
      </c>
      <c r="B1255" s="278"/>
      <c r="C1255" s="279" t="s">
        <v>2217</v>
      </c>
      <c r="D1255" s="278" t="s">
        <v>1250</v>
      </c>
      <c r="E1255" s="278" t="s">
        <v>2218</v>
      </c>
      <c r="F1255" s="278" t="s">
        <v>1750</v>
      </c>
      <c r="G1255" s="280" t="s">
        <v>52</v>
      </c>
      <c r="H1255" s="279" t="s">
        <v>1417</v>
      </c>
      <c r="I1255" s="279" t="s">
        <v>1988</v>
      </c>
      <c r="J1255" s="781">
        <v>10.56</v>
      </c>
      <c r="K1255" s="782"/>
    </row>
    <row r="1256" spans="1:11" ht="21.95" customHeight="1" x14ac:dyDescent="0.2">
      <c r="A1256" s="278" t="s">
        <v>1248</v>
      </c>
      <c r="B1256" s="278"/>
      <c r="C1256" s="279" t="s">
        <v>1394</v>
      </c>
      <c r="D1256" s="278" t="s">
        <v>1250</v>
      </c>
      <c r="E1256" s="278" t="s">
        <v>349</v>
      </c>
      <c r="F1256" s="278" t="s">
        <v>1395</v>
      </c>
      <c r="G1256" s="280" t="s">
        <v>77</v>
      </c>
      <c r="H1256" s="279" t="s">
        <v>2312</v>
      </c>
      <c r="I1256" s="279" t="s">
        <v>1397</v>
      </c>
      <c r="J1256" s="781">
        <v>3.21</v>
      </c>
      <c r="K1256" s="782"/>
    </row>
    <row r="1257" spans="1:11" ht="21.95" customHeight="1" x14ac:dyDescent="0.2">
      <c r="A1257" s="278" t="s">
        <v>1248</v>
      </c>
      <c r="B1257" s="278"/>
      <c r="C1257" s="279" t="s">
        <v>1398</v>
      </c>
      <c r="D1257" s="278" t="s">
        <v>1250</v>
      </c>
      <c r="E1257" s="278" t="s">
        <v>328</v>
      </c>
      <c r="F1257" s="278" t="s">
        <v>1395</v>
      </c>
      <c r="G1257" s="280" t="s">
        <v>77</v>
      </c>
      <c r="H1257" s="279" t="s">
        <v>2312</v>
      </c>
      <c r="I1257" s="279" t="s">
        <v>1399</v>
      </c>
      <c r="J1257" s="781">
        <v>21.12</v>
      </c>
      <c r="K1257" s="782"/>
    </row>
    <row r="1258" spans="1:11" ht="21.95" customHeight="1" thickBot="1" x14ac:dyDescent="0.25">
      <c r="A1258" s="282" t="s">
        <v>1276</v>
      </c>
      <c r="B1258" s="282"/>
      <c r="C1258" s="283" t="s">
        <v>2316</v>
      </c>
      <c r="D1258" s="282" t="s">
        <v>1250</v>
      </c>
      <c r="E1258" s="282" t="s">
        <v>2317</v>
      </c>
      <c r="F1258" s="282" t="s">
        <v>1278</v>
      </c>
      <c r="G1258" s="284" t="s">
        <v>52</v>
      </c>
      <c r="H1258" s="283" t="s">
        <v>1262</v>
      </c>
      <c r="I1258" s="283" t="s">
        <v>2318</v>
      </c>
      <c r="J1258" s="770">
        <v>145.88999999999999</v>
      </c>
      <c r="K1258" s="771"/>
    </row>
    <row r="1259" spans="1:11" ht="0.95" customHeight="1" thickTop="1" x14ac:dyDescent="0.2">
      <c r="A1259" s="281"/>
      <c r="B1259" s="281"/>
      <c r="C1259" s="281"/>
      <c r="D1259" s="281"/>
      <c r="E1259" s="281"/>
      <c r="F1259" s="281"/>
      <c r="G1259" s="281"/>
      <c r="H1259" s="281"/>
      <c r="I1259" s="281"/>
      <c r="J1259" s="421"/>
      <c r="K1259" s="421"/>
    </row>
    <row r="1260" spans="1:11" ht="18" customHeight="1" x14ac:dyDescent="0.2">
      <c r="A1260" s="272"/>
      <c r="B1260" s="272" t="s">
        <v>54</v>
      </c>
      <c r="C1260" s="273" t="s">
        <v>1239</v>
      </c>
      <c r="D1260" s="272" t="s">
        <v>1240</v>
      </c>
      <c r="E1260" s="272" t="s">
        <v>1241</v>
      </c>
      <c r="F1260" s="272" t="s">
        <v>1242</v>
      </c>
      <c r="G1260" s="274" t="s">
        <v>60</v>
      </c>
      <c r="H1260" s="273" t="s">
        <v>58</v>
      </c>
      <c r="I1260" s="273" t="s">
        <v>1243</v>
      </c>
      <c r="J1260" s="775" t="s">
        <v>196</v>
      </c>
      <c r="K1260" s="776"/>
    </row>
    <row r="1261" spans="1:11" ht="21.95" customHeight="1" x14ac:dyDescent="0.2">
      <c r="A1261" s="275" t="s">
        <v>1244</v>
      </c>
      <c r="B1261" s="275" t="s">
        <v>4312</v>
      </c>
      <c r="C1261" s="276" t="s">
        <v>2197</v>
      </c>
      <c r="D1261" s="275" t="s">
        <v>1246</v>
      </c>
      <c r="E1261" s="275" t="s">
        <v>345</v>
      </c>
      <c r="F1261" s="275" t="s">
        <v>1252</v>
      </c>
      <c r="G1261" s="277" t="s">
        <v>52</v>
      </c>
      <c r="H1261" s="276">
        <v>1</v>
      </c>
      <c r="I1261" s="276" t="s">
        <v>2198</v>
      </c>
      <c r="J1261" s="777" t="s">
        <v>2198</v>
      </c>
      <c r="K1261" s="778"/>
    </row>
    <row r="1262" spans="1:11" ht="21.95" customHeight="1" x14ac:dyDescent="0.2">
      <c r="A1262" s="278" t="s">
        <v>1248</v>
      </c>
      <c r="B1262" s="278"/>
      <c r="C1262" s="279" t="s">
        <v>1269</v>
      </c>
      <c r="D1262" s="278" t="s">
        <v>1250</v>
      </c>
      <c r="E1262" s="278" t="s">
        <v>1270</v>
      </c>
      <c r="F1262" s="278" t="s">
        <v>1252</v>
      </c>
      <c r="G1262" s="280" t="s">
        <v>1253</v>
      </c>
      <c r="H1262" s="279" t="s">
        <v>1271</v>
      </c>
      <c r="I1262" s="279" t="s">
        <v>1272</v>
      </c>
      <c r="J1262" s="781">
        <v>10.25</v>
      </c>
      <c r="K1262" s="782"/>
    </row>
    <row r="1263" spans="1:11" ht="21.95" customHeight="1" thickBot="1" x14ac:dyDescent="0.25">
      <c r="A1263" s="282" t="s">
        <v>1276</v>
      </c>
      <c r="B1263" s="282"/>
      <c r="C1263" s="283" t="s">
        <v>2199</v>
      </c>
      <c r="D1263" s="282" t="s">
        <v>1250</v>
      </c>
      <c r="E1263" s="282" t="s">
        <v>345</v>
      </c>
      <c r="F1263" s="282" t="s">
        <v>1278</v>
      </c>
      <c r="G1263" s="284" t="s">
        <v>52</v>
      </c>
      <c r="H1263" s="283" t="s">
        <v>1262</v>
      </c>
      <c r="I1263" s="283" t="s">
        <v>2200</v>
      </c>
      <c r="J1263" s="770">
        <v>31.7</v>
      </c>
      <c r="K1263" s="771"/>
    </row>
    <row r="1264" spans="1:11" ht="0.95" customHeight="1" thickTop="1" x14ac:dyDescent="0.2">
      <c r="A1264" s="281"/>
      <c r="B1264" s="281"/>
      <c r="C1264" s="281"/>
      <c r="D1264" s="281"/>
      <c r="E1264" s="281"/>
      <c r="F1264" s="281"/>
      <c r="G1264" s="281"/>
      <c r="H1264" s="281"/>
      <c r="I1264" s="281"/>
      <c r="J1264" s="421"/>
      <c r="K1264" s="421"/>
    </row>
    <row r="1265" spans="1:11" ht="18" customHeight="1" x14ac:dyDescent="0.2">
      <c r="A1265" s="272"/>
      <c r="B1265" s="272" t="s">
        <v>54</v>
      </c>
      <c r="C1265" s="273" t="s">
        <v>1239</v>
      </c>
      <c r="D1265" s="272" t="s">
        <v>1240</v>
      </c>
      <c r="E1265" s="272" t="s">
        <v>1241</v>
      </c>
      <c r="F1265" s="272" t="s">
        <v>1242</v>
      </c>
      <c r="G1265" s="274" t="s">
        <v>60</v>
      </c>
      <c r="H1265" s="273" t="s">
        <v>58</v>
      </c>
      <c r="I1265" s="273" t="s">
        <v>1243</v>
      </c>
      <c r="J1265" s="775" t="s">
        <v>196</v>
      </c>
      <c r="K1265" s="776"/>
    </row>
    <row r="1266" spans="1:11" ht="21.95" customHeight="1" x14ac:dyDescent="0.2">
      <c r="A1266" s="275" t="s">
        <v>1244</v>
      </c>
      <c r="B1266" s="275" t="s">
        <v>4313</v>
      </c>
      <c r="C1266" s="276" t="s">
        <v>2201</v>
      </c>
      <c r="D1266" s="275" t="s">
        <v>1246</v>
      </c>
      <c r="E1266" s="275" t="s">
        <v>677</v>
      </c>
      <c r="F1266" s="275" t="s">
        <v>1750</v>
      </c>
      <c r="G1266" s="277" t="s">
        <v>52</v>
      </c>
      <c r="H1266" s="276">
        <v>1</v>
      </c>
      <c r="I1266" s="276" t="s">
        <v>2202</v>
      </c>
      <c r="J1266" s="777" t="s">
        <v>2202</v>
      </c>
      <c r="K1266" s="778"/>
    </row>
    <row r="1267" spans="1:11" ht="21.95" customHeight="1" x14ac:dyDescent="0.2">
      <c r="A1267" s="278" t="s">
        <v>1248</v>
      </c>
      <c r="B1267" s="278"/>
      <c r="C1267" s="279" t="s">
        <v>1273</v>
      </c>
      <c r="D1267" s="278" t="s">
        <v>1250</v>
      </c>
      <c r="E1267" s="278" t="s">
        <v>1274</v>
      </c>
      <c r="F1267" s="278" t="s">
        <v>1252</v>
      </c>
      <c r="G1267" s="280" t="s">
        <v>1253</v>
      </c>
      <c r="H1267" s="279" t="s">
        <v>1352</v>
      </c>
      <c r="I1267" s="279" t="s">
        <v>1275</v>
      </c>
      <c r="J1267" s="781">
        <v>1.38</v>
      </c>
      <c r="K1267" s="782"/>
    </row>
    <row r="1268" spans="1:11" ht="21.95" customHeight="1" thickBot="1" x14ac:dyDescent="0.25">
      <c r="A1268" s="282" t="s">
        <v>1276</v>
      </c>
      <c r="B1268" s="282"/>
      <c r="C1268" s="283" t="s">
        <v>2203</v>
      </c>
      <c r="D1268" s="282" t="s">
        <v>1250</v>
      </c>
      <c r="E1268" s="282" t="s">
        <v>2204</v>
      </c>
      <c r="F1268" s="282" t="s">
        <v>1278</v>
      </c>
      <c r="G1268" s="284" t="s">
        <v>52</v>
      </c>
      <c r="H1268" s="283" t="s">
        <v>1262</v>
      </c>
      <c r="I1268" s="283" t="s">
        <v>2205</v>
      </c>
      <c r="J1268" s="770">
        <v>22</v>
      </c>
      <c r="K1268" s="771"/>
    </row>
    <row r="1269" spans="1:11" ht="0.95" customHeight="1" thickTop="1" x14ac:dyDescent="0.2">
      <c r="A1269" s="281"/>
      <c r="B1269" s="281"/>
      <c r="C1269" s="281"/>
      <c r="D1269" s="281"/>
      <c r="E1269" s="281"/>
      <c r="F1269" s="281"/>
      <c r="G1269" s="281"/>
      <c r="H1269" s="281"/>
      <c r="I1269" s="281"/>
      <c r="J1269" s="421"/>
      <c r="K1269" s="421"/>
    </row>
    <row r="1270" spans="1:11" ht="18" customHeight="1" x14ac:dyDescent="0.2">
      <c r="A1270" s="272"/>
      <c r="B1270" s="272" t="s">
        <v>54</v>
      </c>
      <c r="C1270" s="273" t="s">
        <v>1239</v>
      </c>
      <c r="D1270" s="272" t="s">
        <v>1240</v>
      </c>
      <c r="E1270" s="272" t="s">
        <v>1241</v>
      </c>
      <c r="F1270" s="272" t="s">
        <v>1242</v>
      </c>
      <c r="G1270" s="274" t="s">
        <v>60</v>
      </c>
      <c r="H1270" s="273" t="s">
        <v>58</v>
      </c>
      <c r="I1270" s="273" t="s">
        <v>1243</v>
      </c>
      <c r="J1270" s="775" t="s">
        <v>196</v>
      </c>
      <c r="K1270" s="776"/>
    </row>
    <row r="1271" spans="1:11" ht="66" customHeight="1" x14ac:dyDescent="0.2">
      <c r="A1271" s="275" t="s">
        <v>1244</v>
      </c>
      <c r="B1271" s="275" t="s">
        <v>4314</v>
      </c>
      <c r="C1271" s="276" t="s">
        <v>2215</v>
      </c>
      <c r="D1271" s="275" t="s">
        <v>1246</v>
      </c>
      <c r="E1271" s="275" t="s">
        <v>681</v>
      </c>
      <c r="F1271" s="275" t="s">
        <v>1750</v>
      </c>
      <c r="G1271" s="277" t="s">
        <v>52</v>
      </c>
      <c r="H1271" s="276">
        <v>1</v>
      </c>
      <c r="I1271" s="276" t="s">
        <v>2216</v>
      </c>
      <c r="J1271" s="777" t="s">
        <v>2216</v>
      </c>
      <c r="K1271" s="778"/>
    </row>
    <row r="1272" spans="1:11" ht="33" customHeight="1" x14ac:dyDescent="0.2">
      <c r="A1272" s="278" t="s">
        <v>1248</v>
      </c>
      <c r="B1272" s="278"/>
      <c r="C1272" s="279" t="s">
        <v>2217</v>
      </c>
      <c r="D1272" s="278" t="s">
        <v>1250</v>
      </c>
      <c r="E1272" s="278" t="s">
        <v>2218</v>
      </c>
      <c r="F1272" s="278" t="s">
        <v>1750</v>
      </c>
      <c r="G1272" s="280" t="s">
        <v>52</v>
      </c>
      <c r="H1272" s="279" t="s">
        <v>1262</v>
      </c>
      <c r="I1272" s="279" t="s">
        <v>1988</v>
      </c>
      <c r="J1272" s="781">
        <v>5.28</v>
      </c>
      <c r="K1272" s="782"/>
    </row>
    <row r="1273" spans="1:11" ht="21.95" customHeight="1" x14ac:dyDescent="0.2">
      <c r="A1273" s="278" t="s">
        <v>1248</v>
      </c>
      <c r="B1273" s="278"/>
      <c r="C1273" s="279" t="s">
        <v>2219</v>
      </c>
      <c r="D1273" s="278" t="s">
        <v>1250</v>
      </c>
      <c r="E1273" s="278" t="s">
        <v>2220</v>
      </c>
      <c r="F1273" s="278" t="s">
        <v>1750</v>
      </c>
      <c r="G1273" s="280" t="s">
        <v>52</v>
      </c>
      <c r="H1273" s="279" t="s">
        <v>1262</v>
      </c>
      <c r="I1273" s="279" t="s">
        <v>2221</v>
      </c>
      <c r="J1273" s="781">
        <v>8.9600000000000009</v>
      </c>
      <c r="K1273" s="782"/>
    </row>
    <row r="1274" spans="1:11" ht="21.95" customHeight="1" x14ac:dyDescent="0.2">
      <c r="A1274" s="278" t="s">
        <v>1248</v>
      </c>
      <c r="B1274" s="278"/>
      <c r="C1274" s="279" t="s">
        <v>2222</v>
      </c>
      <c r="D1274" s="278" t="s">
        <v>1250</v>
      </c>
      <c r="E1274" s="278" t="s">
        <v>2223</v>
      </c>
      <c r="F1274" s="278" t="s">
        <v>1750</v>
      </c>
      <c r="G1274" s="280" t="s">
        <v>52</v>
      </c>
      <c r="H1274" s="279" t="s">
        <v>1262</v>
      </c>
      <c r="I1274" s="279" t="s">
        <v>2224</v>
      </c>
      <c r="J1274" s="781">
        <v>6.51</v>
      </c>
      <c r="K1274" s="782"/>
    </row>
    <row r="1275" spans="1:11" ht="33" customHeight="1" x14ac:dyDescent="0.2">
      <c r="A1275" s="278" t="s">
        <v>1248</v>
      </c>
      <c r="B1275" s="278"/>
      <c r="C1275" s="279" t="s">
        <v>2225</v>
      </c>
      <c r="D1275" s="278" t="s">
        <v>1250</v>
      </c>
      <c r="E1275" s="278" t="s">
        <v>2226</v>
      </c>
      <c r="F1275" s="278" t="s">
        <v>1750</v>
      </c>
      <c r="G1275" s="280" t="s">
        <v>52</v>
      </c>
      <c r="H1275" s="279" t="s">
        <v>1262</v>
      </c>
      <c r="I1275" s="279" t="s">
        <v>2227</v>
      </c>
      <c r="J1275" s="781">
        <v>100.11</v>
      </c>
      <c r="K1275" s="782"/>
    </row>
    <row r="1276" spans="1:11" ht="33" customHeight="1" thickBot="1" x14ac:dyDescent="0.25">
      <c r="A1276" s="278" t="s">
        <v>1248</v>
      </c>
      <c r="B1276" s="278"/>
      <c r="C1276" s="279" t="s">
        <v>2228</v>
      </c>
      <c r="D1276" s="278" t="s">
        <v>1246</v>
      </c>
      <c r="E1276" s="278" t="s">
        <v>1089</v>
      </c>
      <c r="F1276" s="278" t="s">
        <v>1750</v>
      </c>
      <c r="G1276" s="280" t="s">
        <v>52</v>
      </c>
      <c r="H1276" s="279" t="s">
        <v>1262</v>
      </c>
      <c r="I1276" s="279" t="s">
        <v>2229</v>
      </c>
      <c r="J1276" s="784">
        <v>551</v>
      </c>
      <c r="K1276" s="785"/>
    </row>
    <row r="1277" spans="1:11" ht="0.95" customHeight="1" thickTop="1" x14ac:dyDescent="0.2">
      <c r="A1277" s="281"/>
      <c r="B1277" s="281"/>
      <c r="C1277" s="281"/>
      <c r="D1277" s="281"/>
      <c r="E1277" s="281"/>
      <c r="F1277" s="281"/>
      <c r="G1277" s="281"/>
      <c r="H1277" s="281"/>
      <c r="I1277" s="281"/>
      <c r="J1277" s="421"/>
      <c r="K1277" s="421"/>
    </row>
    <row r="1278" spans="1:11" ht="18" customHeight="1" x14ac:dyDescent="0.2">
      <c r="A1278" s="272"/>
      <c r="B1278" s="272" t="s">
        <v>54</v>
      </c>
      <c r="C1278" s="273" t="s">
        <v>1239</v>
      </c>
      <c r="D1278" s="272" t="s">
        <v>1240</v>
      </c>
      <c r="E1278" s="272" t="s">
        <v>1241</v>
      </c>
      <c r="F1278" s="272" t="s">
        <v>1242</v>
      </c>
      <c r="G1278" s="274" t="s">
        <v>60</v>
      </c>
      <c r="H1278" s="273" t="s">
        <v>58</v>
      </c>
      <c r="I1278" s="273" t="s">
        <v>1243</v>
      </c>
      <c r="J1278" s="775" t="s">
        <v>196</v>
      </c>
      <c r="K1278" s="776"/>
    </row>
    <row r="1279" spans="1:11" ht="21.95" customHeight="1" x14ac:dyDescent="0.2">
      <c r="A1279" s="275" t="s">
        <v>1244</v>
      </c>
      <c r="B1279" s="275" t="s">
        <v>4315</v>
      </c>
      <c r="C1279" s="276" t="s">
        <v>2201</v>
      </c>
      <c r="D1279" s="275" t="s">
        <v>1246</v>
      </c>
      <c r="E1279" s="275" t="s">
        <v>677</v>
      </c>
      <c r="F1279" s="275" t="s">
        <v>1750</v>
      </c>
      <c r="G1279" s="277" t="s">
        <v>52</v>
      </c>
      <c r="H1279" s="276">
        <v>1</v>
      </c>
      <c r="I1279" s="276" t="s">
        <v>2202</v>
      </c>
      <c r="J1279" s="777" t="s">
        <v>2202</v>
      </c>
      <c r="K1279" s="778"/>
    </row>
    <row r="1280" spans="1:11" ht="21.95" customHeight="1" x14ac:dyDescent="0.2">
      <c r="A1280" s="278" t="s">
        <v>1248</v>
      </c>
      <c r="B1280" s="278"/>
      <c r="C1280" s="279" t="s">
        <v>1273</v>
      </c>
      <c r="D1280" s="278" t="s">
        <v>1250</v>
      </c>
      <c r="E1280" s="278" t="s">
        <v>1274</v>
      </c>
      <c r="F1280" s="278" t="s">
        <v>1252</v>
      </c>
      <c r="G1280" s="280" t="s">
        <v>1253</v>
      </c>
      <c r="H1280" s="279" t="s">
        <v>1352</v>
      </c>
      <c r="I1280" s="279" t="s">
        <v>1275</v>
      </c>
      <c r="J1280" s="781">
        <v>1.38</v>
      </c>
      <c r="K1280" s="782"/>
    </row>
    <row r="1281" spans="1:11" ht="21.95" customHeight="1" thickBot="1" x14ac:dyDescent="0.25">
      <c r="A1281" s="282" t="s">
        <v>1276</v>
      </c>
      <c r="B1281" s="282"/>
      <c r="C1281" s="283" t="s">
        <v>2203</v>
      </c>
      <c r="D1281" s="282" t="s">
        <v>1250</v>
      </c>
      <c r="E1281" s="282" t="s">
        <v>2204</v>
      </c>
      <c r="F1281" s="282" t="s">
        <v>1278</v>
      </c>
      <c r="G1281" s="284" t="s">
        <v>52</v>
      </c>
      <c r="H1281" s="283" t="s">
        <v>1262</v>
      </c>
      <c r="I1281" s="283" t="s">
        <v>2205</v>
      </c>
      <c r="J1281" s="770">
        <v>22</v>
      </c>
      <c r="K1281" s="771"/>
    </row>
    <row r="1282" spans="1:11" ht="0.95" customHeight="1" thickTop="1" x14ac:dyDescent="0.2">
      <c r="A1282" s="281"/>
      <c r="B1282" s="281"/>
      <c r="C1282" s="281"/>
      <c r="D1282" s="281"/>
      <c r="E1282" s="281"/>
      <c r="F1282" s="281"/>
      <c r="G1282" s="281"/>
      <c r="H1282" s="281"/>
      <c r="I1282" s="281"/>
      <c r="J1282" s="421"/>
      <c r="K1282" s="421"/>
    </row>
    <row r="1283" spans="1:11" ht="18" customHeight="1" x14ac:dyDescent="0.2">
      <c r="A1283" s="272"/>
      <c r="B1283" s="272" t="s">
        <v>54</v>
      </c>
      <c r="C1283" s="273" t="s">
        <v>1239</v>
      </c>
      <c r="D1283" s="272" t="s">
        <v>1240</v>
      </c>
      <c r="E1283" s="272" t="s">
        <v>1241</v>
      </c>
      <c r="F1283" s="272" t="s">
        <v>1242</v>
      </c>
      <c r="G1283" s="274" t="s">
        <v>60</v>
      </c>
      <c r="H1283" s="273" t="s">
        <v>58</v>
      </c>
      <c r="I1283" s="273" t="s">
        <v>1243</v>
      </c>
      <c r="J1283" s="775" t="s">
        <v>196</v>
      </c>
      <c r="K1283" s="776"/>
    </row>
    <row r="1284" spans="1:11" ht="33" customHeight="1" x14ac:dyDescent="0.2">
      <c r="A1284" s="275" t="s">
        <v>1244</v>
      </c>
      <c r="B1284" s="275" t="s">
        <v>4316</v>
      </c>
      <c r="C1284" s="276" t="s">
        <v>2206</v>
      </c>
      <c r="D1284" s="275" t="s">
        <v>1246</v>
      </c>
      <c r="E1284" s="275" t="s">
        <v>413</v>
      </c>
      <c r="F1284" s="275" t="s">
        <v>1750</v>
      </c>
      <c r="G1284" s="277" t="s">
        <v>52</v>
      </c>
      <c r="H1284" s="276">
        <v>1</v>
      </c>
      <c r="I1284" s="276" t="s">
        <v>2207</v>
      </c>
      <c r="J1284" s="777" t="s">
        <v>2207</v>
      </c>
      <c r="K1284" s="778"/>
    </row>
    <row r="1285" spans="1:11" ht="21.95" customHeight="1" x14ac:dyDescent="0.2">
      <c r="A1285" s="278" t="s">
        <v>1248</v>
      </c>
      <c r="B1285" s="278"/>
      <c r="C1285" s="279" t="s">
        <v>1565</v>
      </c>
      <c r="D1285" s="278" t="s">
        <v>1250</v>
      </c>
      <c r="E1285" s="278" t="s">
        <v>1566</v>
      </c>
      <c r="F1285" s="278" t="s">
        <v>1252</v>
      </c>
      <c r="G1285" s="280" t="s">
        <v>1253</v>
      </c>
      <c r="H1285" s="279" t="s">
        <v>1343</v>
      </c>
      <c r="I1285" s="279" t="s">
        <v>1568</v>
      </c>
      <c r="J1285" s="781">
        <v>9.5500000000000007</v>
      </c>
      <c r="K1285" s="782"/>
    </row>
    <row r="1286" spans="1:11" ht="21.95" customHeight="1" x14ac:dyDescent="0.2">
      <c r="A1286" s="278" t="s">
        <v>1248</v>
      </c>
      <c r="B1286" s="278"/>
      <c r="C1286" s="279" t="s">
        <v>1292</v>
      </c>
      <c r="D1286" s="278" t="s">
        <v>1250</v>
      </c>
      <c r="E1286" s="278" t="s">
        <v>1293</v>
      </c>
      <c r="F1286" s="278" t="s">
        <v>1252</v>
      </c>
      <c r="G1286" s="280" t="s">
        <v>1253</v>
      </c>
      <c r="H1286" s="279" t="s">
        <v>1722</v>
      </c>
      <c r="I1286" s="279" t="s">
        <v>1295</v>
      </c>
      <c r="J1286" s="781">
        <v>14.86</v>
      </c>
      <c r="K1286" s="782"/>
    </row>
    <row r="1287" spans="1:11" ht="21.95" customHeight="1" x14ac:dyDescent="0.2">
      <c r="A1287" s="282" t="s">
        <v>1276</v>
      </c>
      <c r="B1287" s="282"/>
      <c r="C1287" s="283" t="s">
        <v>2208</v>
      </c>
      <c r="D1287" s="282" t="s">
        <v>1250</v>
      </c>
      <c r="E1287" s="282" t="s">
        <v>2209</v>
      </c>
      <c r="F1287" s="282" t="s">
        <v>1278</v>
      </c>
      <c r="G1287" s="284" t="s">
        <v>71</v>
      </c>
      <c r="H1287" s="283" t="s">
        <v>1350</v>
      </c>
      <c r="I1287" s="283" t="s">
        <v>2210</v>
      </c>
      <c r="J1287" s="779">
        <v>1.53</v>
      </c>
      <c r="K1287" s="780"/>
    </row>
    <row r="1288" spans="1:11" ht="21.95" customHeight="1" x14ac:dyDescent="0.2">
      <c r="A1288" s="282" t="s">
        <v>1276</v>
      </c>
      <c r="B1288" s="282"/>
      <c r="C1288" s="283" t="s">
        <v>1462</v>
      </c>
      <c r="D1288" s="282" t="s">
        <v>1250</v>
      </c>
      <c r="E1288" s="282" t="s">
        <v>1463</v>
      </c>
      <c r="F1288" s="282" t="s">
        <v>1278</v>
      </c>
      <c r="G1288" s="284" t="s">
        <v>749</v>
      </c>
      <c r="H1288" s="283" t="s">
        <v>1369</v>
      </c>
      <c r="I1288" s="283" t="s">
        <v>1465</v>
      </c>
      <c r="J1288" s="779">
        <v>1.51</v>
      </c>
      <c r="K1288" s="780"/>
    </row>
    <row r="1289" spans="1:11" ht="21.95" customHeight="1" x14ac:dyDescent="0.2">
      <c r="A1289" s="282" t="s">
        <v>1276</v>
      </c>
      <c r="B1289" s="282"/>
      <c r="C1289" s="283" t="s">
        <v>2211</v>
      </c>
      <c r="D1289" s="282" t="s">
        <v>1246</v>
      </c>
      <c r="E1289" s="282" t="s">
        <v>825</v>
      </c>
      <c r="F1289" s="282" t="s">
        <v>1278</v>
      </c>
      <c r="G1289" s="284" t="s">
        <v>52</v>
      </c>
      <c r="H1289" s="283" t="s">
        <v>1262</v>
      </c>
      <c r="I1289" s="283" t="s">
        <v>2212</v>
      </c>
      <c r="J1289" s="779">
        <v>83.1</v>
      </c>
      <c r="K1289" s="780"/>
    </row>
    <row r="1290" spans="1:11" ht="21.95" customHeight="1" thickBot="1" x14ac:dyDescent="0.25">
      <c r="A1290" s="282" t="s">
        <v>1276</v>
      </c>
      <c r="B1290" s="282"/>
      <c r="C1290" s="283" t="s">
        <v>2213</v>
      </c>
      <c r="D1290" s="282" t="s">
        <v>1246</v>
      </c>
      <c r="E1290" s="282" t="s">
        <v>830</v>
      </c>
      <c r="F1290" s="282" t="s">
        <v>1278</v>
      </c>
      <c r="G1290" s="284" t="s">
        <v>52</v>
      </c>
      <c r="H1290" s="283" t="s">
        <v>1262</v>
      </c>
      <c r="I1290" s="283" t="s">
        <v>2214</v>
      </c>
      <c r="J1290" s="770">
        <v>455.89</v>
      </c>
      <c r="K1290" s="771"/>
    </row>
    <row r="1291" spans="1:11" ht="0.95" customHeight="1" thickTop="1" x14ac:dyDescent="0.2">
      <c r="A1291" s="281"/>
      <c r="B1291" s="281"/>
      <c r="C1291" s="281"/>
      <c r="D1291" s="281"/>
      <c r="E1291" s="281"/>
      <c r="F1291" s="281"/>
      <c r="G1291" s="281"/>
      <c r="H1291" s="281"/>
      <c r="I1291" s="281"/>
      <c r="J1291" s="421"/>
      <c r="K1291" s="421"/>
    </row>
    <row r="1292" spans="1:11" ht="18" customHeight="1" x14ac:dyDescent="0.2">
      <c r="A1292" s="272"/>
      <c r="B1292" s="272" t="s">
        <v>54</v>
      </c>
      <c r="C1292" s="273" t="s">
        <v>1239</v>
      </c>
      <c r="D1292" s="272" t="s">
        <v>1240</v>
      </c>
      <c r="E1292" s="272" t="s">
        <v>1241</v>
      </c>
      <c r="F1292" s="272" t="s">
        <v>1242</v>
      </c>
      <c r="G1292" s="274" t="s">
        <v>60</v>
      </c>
      <c r="H1292" s="273" t="s">
        <v>58</v>
      </c>
      <c r="I1292" s="273" t="s">
        <v>1243</v>
      </c>
      <c r="J1292" s="775" t="s">
        <v>196</v>
      </c>
      <c r="K1292" s="776"/>
    </row>
    <row r="1293" spans="1:11" ht="21.95" customHeight="1" x14ac:dyDescent="0.2">
      <c r="A1293" s="275" t="s">
        <v>1244</v>
      </c>
      <c r="B1293" s="275" t="s">
        <v>4317</v>
      </c>
      <c r="C1293" s="276" t="s">
        <v>2230</v>
      </c>
      <c r="D1293" s="275" t="s">
        <v>1246</v>
      </c>
      <c r="E1293" s="275" t="s">
        <v>456</v>
      </c>
      <c r="F1293" s="275" t="s">
        <v>1750</v>
      </c>
      <c r="G1293" s="277" t="s">
        <v>52</v>
      </c>
      <c r="H1293" s="276">
        <v>1</v>
      </c>
      <c r="I1293" s="276" t="s">
        <v>2231</v>
      </c>
      <c r="J1293" s="777" t="s">
        <v>2231</v>
      </c>
      <c r="K1293" s="778"/>
    </row>
    <row r="1294" spans="1:11" ht="21.95" customHeight="1" x14ac:dyDescent="0.2">
      <c r="A1294" s="278" t="s">
        <v>1248</v>
      </c>
      <c r="B1294" s="278"/>
      <c r="C1294" s="279" t="s">
        <v>1292</v>
      </c>
      <c r="D1294" s="278" t="s">
        <v>1250</v>
      </c>
      <c r="E1294" s="278" t="s">
        <v>1293</v>
      </c>
      <c r="F1294" s="278" t="s">
        <v>1252</v>
      </c>
      <c r="G1294" s="280" t="s">
        <v>1253</v>
      </c>
      <c r="H1294" s="279" t="s">
        <v>1689</v>
      </c>
      <c r="I1294" s="279" t="s">
        <v>1295</v>
      </c>
      <c r="J1294" s="781">
        <v>8.74</v>
      </c>
      <c r="K1294" s="782"/>
    </row>
    <row r="1295" spans="1:11" ht="21.95" customHeight="1" x14ac:dyDescent="0.2">
      <c r="A1295" s="282" t="s">
        <v>1276</v>
      </c>
      <c r="B1295" s="282"/>
      <c r="C1295" s="283" t="s">
        <v>1928</v>
      </c>
      <c r="D1295" s="282" t="s">
        <v>1250</v>
      </c>
      <c r="E1295" s="282" t="s">
        <v>1929</v>
      </c>
      <c r="F1295" s="282" t="s">
        <v>1278</v>
      </c>
      <c r="G1295" s="284" t="s">
        <v>52</v>
      </c>
      <c r="H1295" s="283" t="s">
        <v>2232</v>
      </c>
      <c r="I1295" s="283" t="s">
        <v>1931</v>
      </c>
      <c r="J1295" s="779">
        <v>0.11</v>
      </c>
      <c r="K1295" s="780"/>
    </row>
    <row r="1296" spans="1:11" ht="21.95" customHeight="1" thickBot="1" x14ac:dyDescent="0.25">
      <c r="A1296" s="282" t="s">
        <v>1276</v>
      </c>
      <c r="B1296" s="282"/>
      <c r="C1296" s="283" t="s">
        <v>2233</v>
      </c>
      <c r="D1296" s="282" t="s">
        <v>1250</v>
      </c>
      <c r="E1296" s="282" t="s">
        <v>2234</v>
      </c>
      <c r="F1296" s="282" t="s">
        <v>1278</v>
      </c>
      <c r="G1296" s="284" t="s">
        <v>52</v>
      </c>
      <c r="H1296" s="283" t="s">
        <v>1262</v>
      </c>
      <c r="I1296" s="283" t="s">
        <v>2235</v>
      </c>
      <c r="J1296" s="770">
        <v>72.31</v>
      </c>
      <c r="K1296" s="771"/>
    </row>
    <row r="1297" spans="1:11" ht="0.95" customHeight="1" thickTop="1" x14ac:dyDescent="0.2">
      <c r="A1297" s="281"/>
      <c r="B1297" s="281"/>
      <c r="C1297" s="281"/>
      <c r="D1297" s="281"/>
      <c r="E1297" s="281"/>
      <c r="F1297" s="281"/>
      <c r="G1297" s="281"/>
      <c r="H1297" s="281"/>
      <c r="I1297" s="281"/>
      <c r="J1297" s="421"/>
      <c r="K1297" s="421"/>
    </row>
    <row r="1298" spans="1:11" ht="18" customHeight="1" x14ac:dyDescent="0.2">
      <c r="A1298" s="272"/>
      <c r="B1298" s="272" t="s">
        <v>54</v>
      </c>
      <c r="C1298" s="273" t="s">
        <v>1239</v>
      </c>
      <c r="D1298" s="272" t="s">
        <v>1240</v>
      </c>
      <c r="E1298" s="272" t="s">
        <v>1241</v>
      </c>
      <c r="F1298" s="272" t="s">
        <v>1242</v>
      </c>
      <c r="G1298" s="274" t="s">
        <v>60</v>
      </c>
      <c r="H1298" s="273" t="s">
        <v>58</v>
      </c>
      <c r="I1298" s="273" t="s">
        <v>1243</v>
      </c>
      <c r="J1298" s="775" t="s">
        <v>196</v>
      </c>
      <c r="K1298" s="776"/>
    </row>
    <row r="1299" spans="1:11" ht="21.95" customHeight="1" x14ac:dyDescent="0.2">
      <c r="A1299" s="275" t="s">
        <v>1244</v>
      </c>
      <c r="B1299" s="275" t="s">
        <v>4318</v>
      </c>
      <c r="C1299" s="276" t="s">
        <v>2197</v>
      </c>
      <c r="D1299" s="275" t="s">
        <v>1246</v>
      </c>
      <c r="E1299" s="275" t="s">
        <v>345</v>
      </c>
      <c r="F1299" s="275" t="s">
        <v>1252</v>
      </c>
      <c r="G1299" s="277" t="s">
        <v>52</v>
      </c>
      <c r="H1299" s="276">
        <v>1</v>
      </c>
      <c r="I1299" s="276" t="s">
        <v>2198</v>
      </c>
      <c r="J1299" s="777" t="s">
        <v>2198</v>
      </c>
      <c r="K1299" s="778"/>
    </row>
    <row r="1300" spans="1:11" ht="21.95" customHeight="1" x14ac:dyDescent="0.2">
      <c r="A1300" s="278" t="s">
        <v>1248</v>
      </c>
      <c r="B1300" s="278"/>
      <c r="C1300" s="279" t="s">
        <v>1269</v>
      </c>
      <c r="D1300" s="278" t="s">
        <v>1250</v>
      </c>
      <c r="E1300" s="278" t="s">
        <v>1270</v>
      </c>
      <c r="F1300" s="278" t="s">
        <v>1252</v>
      </c>
      <c r="G1300" s="280" t="s">
        <v>1253</v>
      </c>
      <c r="H1300" s="279" t="s">
        <v>1271</v>
      </c>
      <c r="I1300" s="279" t="s">
        <v>1272</v>
      </c>
      <c r="J1300" s="781">
        <v>10.25</v>
      </c>
      <c r="K1300" s="782"/>
    </row>
    <row r="1301" spans="1:11" ht="21.95" customHeight="1" thickBot="1" x14ac:dyDescent="0.25">
      <c r="A1301" s="282" t="s">
        <v>1276</v>
      </c>
      <c r="B1301" s="282"/>
      <c r="C1301" s="283" t="s">
        <v>2199</v>
      </c>
      <c r="D1301" s="282" t="s">
        <v>1250</v>
      </c>
      <c r="E1301" s="282" t="s">
        <v>345</v>
      </c>
      <c r="F1301" s="282" t="s">
        <v>1278</v>
      </c>
      <c r="G1301" s="284" t="s">
        <v>52</v>
      </c>
      <c r="H1301" s="283" t="s">
        <v>1262</v>
      </c>
      <c r="I1301" s="283" t="s">
        <v>2200</v>
      </c>
      <c r="J1301" s="770">
        <v>31.7</v>
      </c>
      <c r="K1301" s="771"/>
    </row>
    <row r="1302" spans="1:11" ht="0.95" customHeight="1" thickTop="1" x14ac:dyDescent="0.2">
      <c r="A1302" s="281"/>
      <c r="B1302" s="281"/>
      <c r="C1302" s="281"/>
      <c r="D1302" s="281"/>
      <c r="E1302" s="281"/>
      <c r="F1302" s="281"/>
      <c r="G1302" s="281"/>
      <c r="H1302" s="281"/>
      <c r="I1302" s="281"/>
      <c r="J1302" s="421"/>
      <c r="K1302" s="421"/>
    </row>
    <row r="1303" spans="1:11" ht="18" customHeight="1" x14ac:dyDescent="0.2">
      <c r="A1303" s="272"/>
      <c r="B1303" s="272" t="s">
        <v>54</v>
      </c>
      <c r="C1303" s="273" t="s">
        <v>1239</v>
      </c>
      <c r="D1303" s="272" t="s">
        <v>1240</v>
      </c>
      <c r="E1303" s="272" t="s">
        <v>1241</v>
      </c>
      <c r="F1303" s="272" t="s">
        <v>1242</v>
      </c>
      <c r="G1303" s="274" t="s">
        <v>60</v>
      </c>
      <c r="H1303" s="273" t="s">
        <v>58</v>
      </c>
      <c r="I1303" s="273" t="s">
        <v>1243</v>
      </c>
      <c r="J1303" s="775" t="s">
        <v>196</v>
      </c>
      <c r="K1303" s="776"/>
    </row>
    <row r="1304" spans="1:11" ht="21.95" customHeight="1" x14ac:dyDescent="0.2">
      <c r="A1304" s="275" t="s">
        <v>1244</v>
      </c>
      <c r="B1304" s="275" t="s">
        <v>4319</v>
      </c>
      <c r="C1304" s="276" t="s">
        <v>2236</v>
      </c>
      <c r="D1304" s="275" t="s">
        <v>1246</v>
      </c>
      <c r="E1304" s="275" t="s">
        <v>356</v>
      </c>
      <c r="F1304" s="275" t="s">
        <v>1750</v>
      </c>
      <c r="G1304" s="277" t="s">
        <v>52</v>
      </c>
      <c r="H1304" s="276">
        <v>1</v>
      </c>
      <c r="I1304" s="276" t="s">
        <v>2237</v>
      </c>
      <c r="J1304" s="777" t="s">
        <v>2237</v>
      </c>
      <c r="K1304" s="778"/>
    </row>
    <row r="1305" spans="1:11" ht="21.95" customHeight="1" x14ac:dyDescent="0.2">
      <c r="A1305" s="278" t="s">
        <v>1248</v>
      </c>
      <c r="B1305" s="278"/>
      <c r="C1305" s="279" t="s">
        <v>1288</v>
      </c>
      <c r="D1305" s="278" t="s">
        <v>1250</v>
      </c>
      <c r="E1305" s="278" t="s">
        <v>1289</v>
      </c>
      <c r="F1305" s="278" t="s">
        <v>1252</v>
      </c>
      <c r="G1305" s="280" t="s">
        <v>1253</v>
      </c>
      <c r="H1305" s="279" t="s">
        <v>1689</v>
      </c>
      <c r="I1305" s="279" t="s">
        <v>1291</v>
      </c>
      <c r="J1305" s="781">
        <v>7.13</v>
      </c>
      <c r="K1305" s="782"/>
    </row>
    <row r="1306" spans="1:11" ht="21.95" customHeight="1" x14ac:dyDescent="0.2">
      <c r="A1306" s="278" t="s">
        <v>1248</v>
      </c>
      <c r="B1306" s="278"/>
      <c r="C1306" s="279" t="s">
        <v>1292</v>
      </c>
      <c r="D1306" s="278" t="s">
        <v>1250</v>
      </c>
      <c r="E1306" s="278" t="s">
        <v>1293</v>
      </c>
      <c r="F1306" s="278" t="s">
        <v>1252</v>
      </c>
      <c r="G1306" s="280" t="s">
        <v>1253</v>
      </c>
      <c r="H1306" s="279" t="s">
        <v>1689</v>
      </c>
      <c r="I1306" s="279" t="s">
        <v>1295</v>
      </c>
      <c r="J1306" s="781">
        <v>8.74</v>
      </c>
      <c r="K1306" s="782"/>
    </row>
    <row r="1307" spans="1:11" ht="21.95" customHeight="1" thickBot="1" x14ac:dyDescent="0.25">
      <c r="A1307" s="282" t="s">
        <v>1276</v>
      </c>
      <c r="B1307" s="282"/>
      <c r="C1307" s="283" t="s">
        <v>2238</v>
      </c>
      <c r="D1307" s="282" t="s">
        <v>1250</v>
      </c>
      <c r="E1307" s="282" t="s">
        <v>2239</v>
      </c>
      <c r="F1307" s="282" t="s">
        <v>1278</v>
      </c>
      <c r="G1307" s="284" t="s">
        <v>52</v>
      </c>
      <c r="H1307" s="283" t="s">
        <v>1262</v>
      </c>
      <c r="I1307" s="283" t="s">
        <v>2240</v>
      </c>
      <c r="J1307" s="770">
        <v>20</v>
      </c>
      <c r="K1307" s="771"/>
    </row>
    <row r="1308" spans="1:11" ht="0.95" customHeight="1" thickTop="1" x14ac:dyDescent="0.2">
      <c r="A1308" s="281"/>
      <c r="B1308" s="281"/>
      <c r="C1308" s="281"/>
      <c r="D1308" s="281"/>
      <c r="E1308" s="281"/>
      <c r="F1308" s="281"/>
      <c r="G1308" s="281"/>
      <c r="H1308" s="281"/>
      <c r="I1308" s="281"/>
      <c r="J1308" s="421"/>
      <c r="K1308" s="421"/>
    </row>
    <row r="1309" spans="1:11" ht="18" customHeight="1" x14ac:dyDescent="0.2">
      <c r="A1309" s="272"/>
      <c r="B1309" s="272" t="s">
        <v>54</v>
      </c>
      <c r="C1309" s="273" t="s">
        <v>1239</v>
      </c>
      <c r="D1309" s="272" t="s">
        <v>1240</v>
      </c>
      <c r="E1309" s="272" t="s">
        <v>1241</v>
      </c>
      <c r="F1309" s="272" t="s">
        <v>1242</v>
      </c>
      <c r="G1309" s="274" t="s">
        <v>60</v>
      </c>
      <c r="H1309" s="273" t="s">
        <v>58</v>
      </c>
      <c r="I1309" s="273" t="s">
        <v>1243</v>
      </c>
      <c r="J1309" s="775" t="s">
        <v>196</v>
      </c>
      <c r="K1309" s="776"/>
    </row>
    <row r="1310" spans="1:11" ht="21.95" customHeight="1" x14ac:dyDescent="0.2">
      <c r="A1310" s="275" t="s">
        <v>1244</v>
      </c>
      <c r="B1310" s="275" t="s">
        <v>4320</v>
      </c>
      <c r="C1310" s="276" t="s">
        <v>2252</v>
      </c>
      <c r="D1310" s="275" t="s">
        <v>1246</v>
      </c>
      <c r="E1310" s="275" t="s">
        <v>347</v>
      </c>
      <c r="F1310" s="275" t="s">
        <v>1750</v>
      </c>
      <c r="G1310" s="277" t="s">
        <v>52</v>
      </c>
      <c r="H1310" s="276">
        <v>1</v>
      </c>
      <c r="I1310" s="276" t="s">
        <v>2253</v>
      </c>
      <c r="J1310" s="777" t="s">
        <v>2253</v>
      </c>
      <c r="K1310" s="778"/>
    </row>
    <row r="1311" spans="1:11" ht="21.95" customHeight="1" x14ac:dyDescent="0.2">
      <c r="A1311" s="278" t="s">
        <v>1248</v>
      </c>
      <c r="B1311" s="278"/>
      <c r="C1311" s="279" t="s">
        <v>1288</v>
      </c>
      <c r="D1311" s="278" t="s">
        <v>1250</v>
      </c>
      <c r="E1311" s="278" t="s">
        <v>1289</v>
      </c>
      <c r="F1311" s="278" t="s">
        <v>1252</v>
      </c>
      <c r="G1311" s="280" t="s">
        <v>1253</v>
      </c>
      <c r="H1311" s="279" t="s">
        <v>2241</v>
      </c>
      <c r="I1311" s="279" t="s">
        <v>1291</v>
      </c>
      <c r="J1311" s="781">
        <v>6.55</v>
      </c>
      <c r="K1311" s="782"/>
    </row>
    <row r="1312" spans="1:11" ht="21.95" customHeight="1" x14ac:dyDescent="0.2">
      <c r="A1312" s="278" t="s">
        <v>1248</v>
      </c>
      <c r="B1312" s="278"/>
      <c r="C1312" s="279" t="s">
        <v>1292</v>
      </c>
      <c r="D1312" s="278" t="s">
        <v>1250</v>
      </c>
      <c r="E1312" s="278" t="s">
        <v>1293</v>
      </c>
      <c r="F1312" s="278" t="s">
        <v>1252</v>
      </c>
      <c r="G1312" s="280" t="s">
        <v>1253</v>
      </c>
      <c r="H1312" s="279" t="s">
        <v>2241</v>
      </c>
      <c r="I1312" s="279" t="s">
        <v>1295</v>
      </c>
      <c r="J1312" s="781">
        <v>8.0399999999999991</v>
      </c>
      <c r="K1312" s="782"/>
    </row>
    <row r="1313" spans="1:11" ht="21.95" customHeight="1" x14ac:dyDescent="0.2">
      <c r="A1313" s="282" t="s">
        <v>1276</v>
      </c>
      <c r="B1313" s="282"/>
      <c r="C1313" s="283" t="s">
        <v>2242</v>
      </c>
      <c r="D1313" s="282" t="s">
        <v>1250</v>
      </c>
      <c r="E1313" s="282" t="s">
        <v>2243</v>
      </c>
      <c r="F1313" s="282" t="s">
        <v>1278</v>
      </c>
      <c r="G1313" s="284" t="s">
        <v>52</v>
      </c>
      <c r="H1313" s="283" t="s">
        <v>1262</v>
      </c>
      <c r="I1313" s="283" t="s">
        <v>2244</v>
      </c>
      <c r="J1313" s="779">
        <v>1.98</v>
      </c>
      <c r="K1313" s="780"/>
    </row>
    <row r="1314" spans="1:11" ht="21.95" customHeight="1" x14ac:dyDescent="0.2">
      <c r="A1314" s="282" t="s">
        <v>1276</v>
      </c>
      <c r="B1314" s="282"/>
      <c r="C1314" s="283" t="s">
        <v>2254</v>
      </c>
      <c r="D1314" s="282" t="s">
        <v>1250</v>
      </c>
      <c r="E1314" s="282" t="s">
        <v>2255</v>
      </c>
      <c r="F1314" s="282" t="s">
        <v>1278</v>
      </c>
      <c r="G1314" s="284" t="s">
        <v>52</v>
      </c>
      <c r="H1314" s="283" t="s">
        <v>1262</v>
      </c>
      <c r="I1314" s="283" t="s">
        <v>2256</v>
      </c>
      <c r="J1314" s="779">
        <v>1.1100000000000001</v>
      </c>
      <c r="K1314" s="780"/>
    </row>
    <row r="1315" spans="1:11" ht="21.95" customHeight="1" x14ac:dyDescent="0.2">
      <c r="A1315" s="282" t="s">
        <v>1276</v>
      </c>
      <c r="B1315" s="282"/>
      <c r="C1315" s="283" t="s">
        <v>2257</v>
      </c>
      <c r="D1315" s="282" t="s">
        <v>1250</v>
      </c>
      <c r="E1315" s="282" t="s">
        <v>2258</v>
      </c>
      <c r="F1315" s="282" t="s">
        <v>1278</v>
      </c>
      <c r="G1315" s="284" t="s">
        <v>52</v>
      </c>
      <c r="H1315" s="283" t="s">
        <v>1262</v>
      </c>
      <c r="I1315" s="283" t="s">
        <v>2259</v>
      </c>
      <c r="J1315" s="779">
        <v>11.48</v>
      </c>
      <c r="K1315" s="780"/>
    </row>
    <row r="1316" spans="1:11" ht="33" customHeight="1" thickBot="1" x14ac:dyDescent="0.25">
      <c r="A1316" s="282" t="s">
        <v>1276</v>
      </c>
      <c r="B1316" s="282"/>
      <c r="C1316" s="283" t="s">
        <v>2248</v>
      </c>
      <c r="D1316" s="282" t="s">
        <v>1250</v>
      </c>
      <c r="E1316" s="282" t="s">
        <v>2249</v>
      </c>
      <c r="F1316" s="282" t="s">
        <v>1278</v>
      </c>
      <c r="G1316" s="284" t="s">
        <v>52</v>
      </c>
      <c r="H1316" s="283" t="s">
        <v>1347</v>
      </c>
      <c r="I1316" s="283" t="s">
        <v>2250</v>
      </c>
      <c r="J1316" s="770">
        <v>0.66</v>
      </c>
      <c r="K1316" s="771"/>
    </row>
    <row r="1317" spans="1:11" ht="0.95" customHeight="1" thickTop="1" x14ac:dyDescent="0.2">
      <c r="A1317" s="281"/>
      <c r="B1317" s="281"/>
      <c r="C1317" s="281"/>
      <c r="D1317" s="281"/>
      <c r="E1317" s="281"/>
      <c r="F1317" s="281"/>
      <c r="G1317" s="281"/>
      <c r="H1317" s="281"/>
      <c r="I1317" s="281"/>
      <c r="J1317" s="421"/>
      <c r="K1317" s="421"/>
    </row>
    <row r="1318" spans="1:11" ht="18" customHeight="1" x14ac:dyDescent="0.2">
      <c r="A1318" s="272"/>
      <c r="B1318" s="272" t="s">
        <v>54</v>
      </c>
      <c r="C1318" s="273" t="s">
        <v>1239</v>
      </c>
      <c r="D1318" s="272" t="s">
        <v>1240</v>
      </c>
      <c r="E1318" s="272" t="s">
        <v>1241</v>
      </c>
      <c r="F1318" s="272" t="s">
        <v>1242</v>
      </c>
      <c r="G1318" s="274" t="s">
        <v>60</v>
      </c>
      <c r="H1318" s="273" t="s">
        <v>58</v>
      </c>
      <c r="I1318" s="273" t="s">
        <v>1243</v>
      </c>
      <c r="J1318" s="775" t="s">
        <v>196</v>
      </c>
      <c r="K1318" s="776"/>
    </row>
    <row r="1319" spans="1:11" ht="21.95" customHeight="1" x14ac:dyDescent="0.2">
      <c r="A1319" s="275" t="s">
        <v>1244</v>
      </c>
      <c r="B1319" s="275" t="s">
        <v>4321</v>
      </c>
      <c r="C1319" s="276" t="s">
        <v>2260</v>
      </c>
      <c r="D1319" s="275" t="s">
        <v>1246</v>
      </c>
      <c r="E1319" s="275" t="s">
        <v>686</v>
      </c>
      <c r="F1319" s="275" t="s">
        <v>1750</v>
      </c>
      <c r="G1319" s="277" t="s">
        <v>52</v>
      </c>
      <c r="H1319" s="276">
        <v>1</v>
      </c>
      <c r="I1319" s="276" t="s">
        <v>2261</v>
      </c>
      <c r="J1319" s="777" t="s">
        <v>2261</v>
      </c>
      <c r="K1319" s="778"/>
    </row>
    <row r="1320" spans="1:11" ht="21.95" customHeight="1" x14ac:dyDescent="0.2">
      <c r="A1320" s="278" t="s">
        <v>1248</v>
      </c>
      <c r="B1320" s="278"/>
      <c r="C1320" s="279" t="s">
        <v>1288</v>
      </c>
      <c r="D1320" s="278" t="s">
        <v>1250</v>
      </c>
      <c r="E1320" s="278" t="s">
        <v>1289</v>
      </c>
      <c r="F1320" s="278" t="s">
        <v>1252</v>
      </c>
      <c r="G1320" s="280" t="s">
        <v>1253</v>
      </c>
      <c r="H1320" s="279" t="s">
        <v>1679</v>
      </c>
      <c r="I1320" s="279" t="s">
        <v>1291</v>
      </c>
      <c r="J1320" s="781">
        <v>5.27</v>
      </c>
      <c r="K1320" s="782"/>
    </row>
    <row r="1321" spans="1:11" ht="21.95" customHeight="1" x14ac:dyDescent="0.2">
      <c r="A1321" s="278" t="s">
        <v>1248</v>
      </c>
      <c r="B1321" s="278"/>
      <c r="C1321" s="279" t="s">
        <v>1292</v>
      </c>
      <c r="D1321" s="278" t="s">
        <v>1250</v>
      </c>
      <c r="E1321" s="278" t="s">
        <v>1293</v>
      </c>
      <c r="F1321" s="278" t="s">
        <v>1252</v>
      </c>
      <c r="G1321" s="280" t="s">
        <v>1253</v>
      </c>
      <c r="H1321" s="279" t="s">
        <v>1679</v>
      </c>
      <c r="I1321" s="279" t="s">
        <v>1295</v>
      </c>
      <c r="J1321" s="781">
        <v>6.47</v>
      </c>
      <c r="K1321" s="782"/>
    </row>
    <row r="1322" spans="1:11" ht="21.95" customHeight="1" x14ac:dyDescent="0.2">
      <c r="A1322" s="282" t="s">
        <v>1276</v>
      </c>
      <c r="B1322" s="282"/>
      <c r="C1322" s="283" t="s">
        <v>2245</v>
      </c>
      <c r="D1322" s="282" t="s">
        <v>1250</v>
      </c>
      <c r="E1322" s="282" t="s">
        <v>2246</v>
      </c>
      <c r="F1322" s="282" t="s">
        <v>1278</v>
      </c>
      <c r="G1322" s="284" t="s">
        <v>52</v>
      </c>
      <c r="H1322" s="283" t="s">
        <v>1262</v>
      </c>
      <c r="I1322" s="283" t="s">
        <v>2247</v>
      </c>
      <c r="J1322" s="779">
        <v>1.57</v>
      </c>
      <c r="K1322" s="780"/>
    </row>
    <row r="1323" spans="1:11" ht="21.95" customHeight="1" x14ac:dyDescent="0.2">
      <c r="A1323" s="282" t="s">
        <v>1276</v>
      </c>
      <c r="B1323" s="282"/>
      <c r="C1323" s="283" t="s">
        <v>2254</v>
      </c>
      <c r="D1323" s="282" t="s">
        <v>1250</v>
      </c>
      <c r="E1323" s="282" t="s">
        <v>2255</v>
      </c>
      <c r="F1323" s="282" t="s">
        <v>1278</v>
      </c>
      <c r="G1323" s="284" t="s">
        <v>52</v>
      </c>
      <c r="H1323" s="283" t="s">
        <v>1262</v>
      </c>
      <c r="I1323" s="283" t="s">
        <v>2256</v>
      </c>
      <c r="J1323" s="779">
        <v>1.1100000000000001</v>
      </c>
      <c r="K1323" s="780"/>
    </row>
    <row r="1324" spans="1:11" ht="21.95" customHeight="1" x14ac:dyDescent="0.2">
      <c r="A1324" s="282" t="s">
        <v>1276</v>
      </c>
      <c r="B1324" s="282"/>
      <c r="C1324" s="283" t="s">
        <v>2262</v>
      </c>
      <c r="D1324" s="282" t="s">
        <v>1250</v>
      </c>
      <c r="E1324" s="282" t="s">
        <v>2263</v>
      </c>
      <c r="F1324" s="282" t="s">
        <v>1278</v>
      </c>
      <c r="G1324" s="284" t="s">
        <v>52</v>
      </c>
      <c r="H1324" s="283" t="s">
        <v>1262</v>
      </c>
      <c r="I1324" s="283" t="s">
        <v>2264</v>
      </c>
      <c r="J1324" s="779">
        <v>8.4</v>
      </c>
      <c r="K1324" s="780"/>
    </row>
    <row r="1325" spans="1:11" ht="33" customHeight="1" thickBot="1" x14ac:dyDescent="0.25">
      <c r="A1325" s="282" t="s">
        <v>1276</v>
      </c>
      <c r="B1325" s="282"/>
      <c r="C1325" s="283" t="s">
        <v>2248</v>
      </c>
      <c r="D1325" s="282" t="s">
        <v>1250</v>
      </c>
      <c r="E1325" s="282" t="s">
        <v>2249</v>
      </c>
      <c r="F1325" s="282" t="s">
        <v>1278</v>
      </c>
      <c r="G1325" s="284" t="s">
        <v>52</v>
      </c>
      <c r="H1325" s="283" t="s">
        <v>1429</v>
      </c>
      <c r="I1325" s="283" t="s">
        <v>2250</v>
      </c>
      <c r="J1325" s="770">
        <v>0.49</v>
      </c>
      <c r="K1325" s="771"/>
    </row>
    <row r="1326" spans="1:11" ht="0.95" customHeight="1" thickTop="1" x14ac:dyDescent="0.2">
      <c r="A1326" s="281"/>
      <c r="B1326" s="281"/>
      <c r="C1326" s="281"/>
      <c r="D1326" s="281"/>
      <c r="E1326" s="281"/>
      <c r="F1326" s="281"/>
      <c r="G1326" s="281"/>
      <c r="H1326" s="281"/>
      <c r="I1326" s="281"/>
      <c r="J1326" s="421"/>
      <c r="K1326" s="421"/>
    </row>
    <row r="1327" spans="1:11" ht="18" customHeight="1" x14ac:dyDescent="0.2">
      <c r="A1327" s="272"/>
      <c r="B1327" s="272" t="s">
        <v>54</v>
      </c>
      <c r="C1327" s="273" t="s">
        <v>1239</v>
      </c>
      <c r="D1327" s="272" t="s">
        <v>1240</v>
      </c>
      <c r="E1327" s="272" t="s">
        <v>1241</v>
      </c>
      <c r="F1327" s="272" t="s">
        <v>1242</v>
      </c>
      <c r="G1327" s="274" t="s">
        <v>60</v>
      </c>
      <c r="H1327" s="273" t="s">
        <v>58</v>
      </c>
      <c r="I1327" s="273" t="s">
        <v>1243</v>
      </c>
      <c r="J1327" s="775" t="s">
        <v>196</v>
      </c>
      <c r="K1327" s="776"/>
    </row>
    <row r="1328" spans="1:11" ht="21.95" customHeight="1" x14ac:dyDescent="0.2">
      <c r="A1328" s="275" t="s">
        <v>1244</v>
      </c>
      <c r="B1328" s="275" t="s">
        <v>4322</v>
      </c>
      <c r="C1328" s="276" t="s">
        <v>2265</v>
      </c>
      <c r="D1328" s="275" t="s">
        <v>1246</v>
      </c>
      <c r="E1328" s="275" t="s">
        <v>687</v>
      </c>
      <c r="F1328" s="275" t="s">
        <v>1750</v>
      </c>
      <c r="G1328" s="277" t="s">
        <v>52</v>
      </c>
      <c r="H1328" s="276">
        <v>1</v>
      </c>
      <c r="I1328" s="276" t="s">
        <v>2266</v>
      </c>
      <c r="J1328" s="777" t="s">
        <v>2266</v>
      </c>
      <c r="K1328" s="778"/>
    </row>
    <row r="1329" spans="1:11" ht="21.95" customHeight="1" x14ac:dyDescent="0.2">
      <c r="A1329" s="278" t="s">
        <v>1248</v>
      </c>
      <c r="B1329" s="278"/>
      <c r="C1329" s="279" t="s">
        <v>1273</v>
      </c>
      <c r="D1329" s="278" t="s">
        <v>1250</v>
      </c>
      <c r="E1329" s="278" t="s">
        <v>1274</v>
      </c>
      <c r="F1329" s="278" t="s">
        <v>1252</v>
      </c>
      <c r="G1329" s="280" t="s">
        <v>1253</v>
      </c>
      <c r="H1329" s="279" t="s">
        <v>2267</v>
      </c>
      <c r="I1329" s="279" t="s">
        <v>1275</v>
      </c>
      <c r="J1329" s="781">
        <v>3.19</v>
      </c>
      <c r="K1329" s="782"/>
    </row>
    <row r="1330" spans="1:11" ht="21.95" customHeight="1" x14ac:dyDescent="0.2">
      <c r="A1330" s="278" t="s">
        <v>1248</v>
      </c>
      <c r="B1330" s="278"/>
      <c r="C1330" s="279" t="s">
        <v>1292</v>
      </c>
      <c r="D1330" s="278" t="s">
        <v>1250</v>
      </c>
      <c r="E1330" s="278" t="s">
        <v>1293</v>
      </c>
      <c r="F1330" s="278" t="s">
        <v>1252</v>
      </c>
      <c r="G1330" s="280" t="s">
        <v>1253</v>
      </c>
      <c r="H1330" s="279" t="s">
        <v>2267</v>
      </c>
      <c r="I1330" s="279" t="s">
        <v>1295</v>
      </c>
      <c r="J1330" s="781">
        <v>4.0199999999999996</v>
      </c>
      <c r="K1330" s="782"/>
    </row>
    <row r="1331" spans="1:11" ht="21.95" customHeight="1" x14ac:dyDescent="0.2">
      <c r="A1331" s="282" t="s">
        <v>1276</v>
      </c>
      <c r="B1331" s="282"/>
      <c r="C1331" s="283" t="s">
        <v>2064</v>
      </c>
      <c r="D1331" s="282" t="s">
        <v>1250</v>
      </c>
      <c r="E1331" s="282" t="s">
        <v>2065</v>
      </c>
      <c r="F1331" s="282" t="s">
        <v>1278</v>
      </c>
      <c r="G1331" s="284" t="s">
        <v>52</v>
      </c>
      <c r="H1331" s="283" t="s">
        <v>2100</v>
      </c>
      <c r="I1331" s="283" t="s">
        <v>2067</v>
      </c>
      <c r="J1331" s="779">
        <v>1.49</v>
      </c>
      <c r="K1331" s="780"/>
    </row>
    <row r="1332" spans="1:11" ht="21.95" customHeight="1" x14ac:dyDescent="0.2">
      <c r="A1332" s="282" t="s">
        <v>1276</v>
      </c>
      <c r="B1332" s="282"/>
      <c r="C1332" s="283" t="s">
        <v>2070</v>
      </c>
      <c r="D1332" s="282" t="s">
        <v>1250</v>
      </c>
      <c r="E1332" s="282" t="s">
        <v>2071</v>
      </c>
      <c r="F1332" s="282" t="s">
        <v>1278</v>
      </c>
      <c r="G1332" s="284" t="s">
        <v>52</v>
      </c>
      <c r="H1332" s="283" t="s">
        <v>2268</v>
      </c>
      <c r="I1332" s="283" t="s">
        <v>2072</v>
      </c>
      <c r="J1332" s="779">
        <v>2</v>
      </c>
      <c r="K1332" s="780"/>
    </row>
    <row r="1333" spans="1:11" ht="21.95" customHeight="1" thickBot="1" x14ac:dyDescent="0.25">
      <c r="A1333" s="282" t="s">
        <v>1276</v>
      </c>
      <c r="B1333" s="282"/>
      <c r="C1333" s="283" t="s">
        <v>2269</v>
      </c>
      <c r="D1333" s="282" t="s">
        <v>1250</v>
      </c>
      <c r="E1333" s="282" t="s">
        <v>2270</v>
      </c>
      <c r="F1333" s="282" t="s">
        <v>1278</v>
      </c>
      <c r="G1333" s="284" t="s">
        <v>52</v>
      </c>
      <c r="H1333" s="283" t="s">
        <v>1262</v>
      </c>
      <c r="I1333" s="283" t="s">
        <v>2271</v>
      </c>
      <c r="J1333" s="770">
        <v>3.02</v>
      </c>
      <c r="K1333" s="771"/>
    </row>
    <row r="1334" spans="1:11" ht="0.95" customHeight="1" thickTop="1" x14ac:dyDescent="0.2">
      <c r="A1334" s="281"/>
      <c r="B1334" s="281"/>
      <c r="C1334" s="281"/>
      <c r="D1334" s="281"/>
      <c r="E1334" s="281"/>
      <c r="F1334" s="281"/>
      <c r="G1334" s="281"/>
      <c r="H1334" s="281"/>
      <c r="I1334" s="281"/>
      <c r="J1334" s="421"/>
      <c r="K1334" s="421"/>
    </row>
    <row r="1335" spans="1:11" ht="18" customHeight="1" x14ac:dyDescent="0.2">
      <c r="A1335" s="272"/>
      <c r="B1335" s="272" t="s">
        <v>54</v>
      </c>
      <c r="C1335" s="273" t="s">
        <v>1239</v>
      </c>
      <c r="D1335" s="272" t="s">
        <v>1240</v>
      </c>
      <c r="E1335" s="272" t="s">
        <v>1241</v>
      </c>
      <c r="F1335" s="272" t="s">
        <v>1242</v>
      </c>
      <c r="G1335" s="274" t="s">
        <v>60</v>
      </c>
      <c r="H1335" s="273" t="s">
        <v>58</v>
      </c>
      <c r="I1335" s="273" t="s">
        <v>1243</v>
      </c>
      <c r="J1335" s="775" t="s">
        <v>196</v>
      </c>
      <c r="K1335" s="776"/>
    </row>
    <row r="1336" spans="1:11" ht="21.95" customHeight="1" x14ac:dyDescent="0.2">
      <c r="A1336" s="275" t="s">
        <v>1244</v>
      </c>
      <c r="B1336" s="275" t="s">
        <v>4323</v>
      </c>
      <c r="C1336" s="276" t="s">
        <v>2272</v>
      </c>
      <c r="D1336" s="275" t="s">
        <v>1246</v>
      </c>
      <c r="E1336" s="275" t="s">
        <v>689</v>
      </c>
      <c r="F1336" s="275" t="s">
        <v>1750</v>
      </c>
      <c r="G1336" s="277" t="s">
        <v>60</v>
      </c>
      <c r="H1336" s="276">
        <v>1</v>
      </c>
      <c r="I1336" s="276" t="s">
        <v>2273</v>
      </c>
      <c r="J1336" s="777" t="s">
        <v>2273</v>
      </c>
      <c r="K1336" s="778"/>
    </row>
    <row r="1337" spans="1:11" ht="21.95" customHeight="1" x14ac:dyDescent="0.2">
      <c r="A1337" s="278" t="s">
        <v>1248</v>
      </c>
      <c r="B1337" s="278"/>
      <c r="C1337" s="279" t="s">
        <v>1292</v>
      </c>
      <c r="D1337" s="278" t="s">
        <v>1250</v>
      </c>
      <c r="E1337" s="278" t="s">
        <v>1293</v>
      </c>
      <c r="F1337" s="278" t="s">
        <v>1252</v>
      </c>
      <c r="G1337" s="280" t="s">
        <v>1253</v>
      </c>
      <c r="H1337" s="279" t="s">
        <v>1636</v>
      </c>
      <c r="I1337" s="279" t="s">
        <v>1295</v>
      </c>
      <c r="J1337" s="781">
        <v>3.14</v>
      </c>
      <c r="K1337" s="782"/>
    </row>
    <row r="1338" spans="1:11" ht="21.95" customHeight="1" x14ac:dyDescent="0.2">
      <c r="A1338" s="278" t="s">
        <v>1248</v>
      </c>
      <c r="B1338" s="278"/>
      <c r="C1338" s="279" t="s">
        <v>1273</v>
      </c>
      <c r="D1338" s="278" t="s">
        <v>1250</v>
      </c>
      <c r="E1338" s="278" t="s">
        <v>1274</v>
      </c>
      <c r="F1338" s="278" t="s">
        <v>1252</v>
      </c>
      <c r="G1338" s="280" t="s">
        <v>1253</v>
      </c>
      <c r="H1338" s="279" t="s">
        <v>1636</v>
      </c>
      <c r="I1338" s="279" t="s">
        <v>1275</v>
      </c>
      <c r="J1338" s="781">
        <v>2.5</v>
      </c>
      <c r="K1338" s="782"/>
    </row>
    <row r="1339" spans="1:11" ht="21.95" customHeight="1" x14ac:dyDescent="0.2">
      <c r="A1339" s="282" t="s">
        <v>1276</v>
      </c>
      <c r="B1339" s="282"/>
      <c r="C1339" s="283" t="s">
        <v>2064</v>
      </c>
      <c r="D1339" s="282" t="s">
        <v>1250</v>
      </c>
      <c r="E1339" s="282" t="s">
        <v>2065</v>
      </c>
      <c r="F1339" s="282" t="s">
        <v>1278</v>
      </c>
      <c r="G1339" s="284" t="s">
        <v>52</v>
      </c>
      <c r="H1339" s="283" t="s">
        <v>1339</v>
      </c>
      <c r="I1339" s="283" t="s">
        <v>2067</v>
      </c>
      <c r="J1339" s="779">
        <v>1.1200000000000001</v>
      </c>
      <c r="K1339" s="780"/>
    </row>
    <row r="1340" spans="1:11" ht="21.95" customHeight="1" x14ac:dyDescent="0.2">
      <c r="A1340" s="282" t="s">
        <v>1276</v>
      </c>
      <c r="B1340" s="282"/>
      <c r="C1340" s="283" t="s">
        <v>2070</v>
      </c>
      <c r="D1340" s="282" t="s">
        <v>1250</v>
      </c>
      <c r="E1340" s="282" t="s">
        <v>2071</v>
      </c>
      <c r="F1340" s="282" t="s">
        <v>1278</v>
      </c>
      <c r="G1340" s="284" t="s">
        <v>52</v>
      </c>
      <c r="H1340" s="283" t="s">
        <v>2066</v>
      </c>
      <c r="I1340" s="283" t="s">
        <v>2072</v>
      </c>
      <c r="J1340" s="779">
        <v>1.45</v>
      </c>
      <c r="K1340" s="780"/>
    </row>
    <row r="1341" spans="1:11" ht="21.95" customHeight="1" thickBot="1" x14ac:dyDescent="0.25">
      <c r="A1341" s="282" t="s">
        <v>1276</v>
      </c>
      <c r="B1341" s="282"/>
      <c r="C1341" s="283" t="s">
        <v>2274</v>
      </c>
      <c r="D1341" s="282" t="s">
        <v>1250</v>
      </c>
      <c r="E1341" s="282" t="s">
        <v>2275</v>
      </c>
      <c r="F1341" s="282" t="s">
        <v>1278</v>
      </c>
      <c r="G1341" s="284" t="s">
        <v>52</v>
      </c>
      <c r="H1341" s="283" t="s">
        <v>1262</v>
      </c>
      <c r="I1341" s="283" t="s">
        <v>2276</v>
      </c>
      <c r="J1341" s="770">
        <v>2.77</v>
      </c>
      <c r="K1341" s="771"/>
    </row>
    <row r="1342" spans="1:11" ht="0.95" customHeight="1" thickTop="1" x14ac:dyDescent="0.2">
      <c r="A1342" s="281"/>
      <c r="B1342" s="281"/>
      <c r="C1342" s="281"/>
      <c r="D1342" s="281"/>
      <c r="E1342" s="281"/>
      <c r="F1342" s="281"/>
      <c r="G1342" s="281"/>
      <c r="H1342" s="281"/>
      <c r="I1342" s="281"/>
      <c r="J1342" s="421"/>
      <c r="K1342" s="421"/>
    </row>
    <row r="1343" spans="1:11" ht="18" customHeight="1" x14ac:dyDescent="0.2">
      <c r="A1343" s="272"/>
      <c r="B1343" s="272" t="s">
        <v>54</v>
      </c>
      <c r="C1343" s="273" t="s">
        <v>1239</v>
      </c>
      <c r="D1343" s="272" t="s">
        <v>1240</v>
      </c>
      <c r="E1343" s="272" t="s">
        <v>1241</v>
      </c>
      <c r="F1343" s="272" t="s">
        <v>1242</v>
      </c>
      <c r="G1343" s="274" t="s">
        <v>60</v>
      </c>
      <c r="H1343" s="273" t="s">
        <v>58</v>
      </c>
      <c r="I1343" s="273" t="s">
        <v>1243</v>
      </c>
      <c r="J1343" s="775" t="s">
        <v>196</v>
      </c>
      <c r="K1343" s="776"/>
    </row>
    <row r="1344" spans="1:11" ht="21.95" customHeight="1" x14ac:dyDescent="0.2">
      <c r="A1344" s="275" t="s">
        <v>1244</v>
      </c>
      <c r="B1344" s="275" t="s">
        <v>4324</v>
      </c>
      <c r="C1344" s="276" t="s">
        <v>2277</v>
      </c>
      <c r="D1344" s="275" t="s">
        <v>1246</v>
      </c>
      <c r="E1344" s="275" t="s">
        <v>360</v>
      </c>
      <c r="F1344" s="275" t="s">
        <v>1750</v>
      </c>
      <c r="G1344" s="277" t="s">
        <v>52</v>
      </c>
      <c r="H1344" s="276">
        <v>1</v>
      </c>
      <c r="I1344" s="276" t="s">
        <v>2278</v>
      </c>
      <c r="J1344" s="777" t="s">
        <v>2278</v>
      </c>
      <c r="K1344" s="778"/>
    </row>
    <row r="1345" spans="1:11" ht="21.95" customHeight="1" x14ac:dyDescent="0.2">
      <c r="A1345" s="278" t="s">
        <v>1248</v>
      </c>
      <c r="B1345" s="278"/>
      <c r="C1345" s="279" t="s">
        <v>1292</v>
      </c>
      <c r="D1345" s="278" t="s">
        <v>1250</v>
      </c>
      <c r="E1345" s="278" t="s">
        <v>1293</v>
      </c>
      <c r="F1345" s="278" t="s">
        <v>1252</v>
      </c>
      <c r="G1345" s="280" t="s">
        <v>1253</v>
      </c>
      <c r="H1345" s="279" t="s">
        <v>1344</v>
      </c>
      <c r="I1345" s="279" t="s">
        <v>1295</v>
      </c>
      <c r="J1345" s="781">
        <v>1.22</v>
      </c>
      <c r="K1345" s="782"/>
    </row>
    <row r="1346" spans="1:11" ht="21.95" customHeight="1" x14ac:dyDescent="0.2">
      <c r="A1346" s="278" t="s">
        <v>1248</v>
      </c>
      <c r="B1346" s="278"/>
      <c r="C1346" s="279" t="s">
        <v>1273</v>
      </c>
      <c r="D1346" s="278" t="s">
        <v>1250</v>
      </c>
      <c r="E1346" s="278" t="s">
        <v>1274</v>
      </c>
      <c r="F1346" s="278" t="s">
        <v>1252</v>
      </c>
      <c r="G1346" s="280" t="s">
        <v>1253</v>
      </c>
      <c r="H1346" s="279" t="s">
        <v>1344</v>
      </c>
      <c r="I1346" s="279" t="s">
        <v>1275</v>
      </c>
      <c r="J1346" s="781">
        <v>0.97</v>
      </c>
      <c r="K1346" s="782"/>
    </row>
    <row r="1347" spans="1:11" ht="21.95" customHeight="1" x14ac:dyDescent="0.2">
      <c r="A1347" s="282" t="s">
        <v>1276</v>
      </c>
      <c r="B1347" s="282"/>
      <c r="C1347" s="283" t="s">
        <v>2279</v>
      </c>
      <c r="D1347" s="282" t="s">
        <v>1250</v>
      </c>
      <c r="E1347" s="282" t="s">
        <v>2280</v>
      </c>
      <c r="F1347" s="282" t="s">
        <v>1278</v>
      </c>
      <c r="G1347" s="284" t="s">
        <v>52</v>
      </c>
      <c r="H1347" s="283" t="s">
        <v>1262</v>
      </c>
      <c r="I1347" s="283" t="s">
        <v>2281</v>
      </c>
      <c r="J1347" s="779">
        <v>4.34</v>
      </c>
      <c r="K1347" s="780"/>
    </row>
    <row r="1348" spans="1:11" ht="21.95" customHeight="1" x14ac:dyDescent="0.2">
      <c r="A1348" s="282" t="s">
        <v>1276</v>
      </c>
      <c r="B1348" s="282"/>
      <c r="C1348" s="283" t="s">
        <v>2254</v>
      </c>
      <c r="D1348" s="282" t="s">
        <v>1250</v>
      </c>
      <c r="E1348" s="282" t="s">
        <v>2255</v>
      </c>
      <c r="F1348" s="282" t="s">
        <v>1278</v>
      </c>
      <c r="G1348" s="284" t="s">
        <v>52</v>
      </c>
      <c r="H1348" s="283" t="s">
        <v>1262</v>
      </c>
      <c r="I1348" s="283" t="s">
        <v>2256</v>
      </c>
      <c r="J1348" s="779">
        <v>1.1100000000000001</v>
      </c>
      <c r="K1348" s="780"/>
    </row>
    <row r="1349" spans="1:11" ht="33" customHeight="1" thickBot="1" x14ac:dyDescent="0.25">
      <c r="A1349" s="282" t="s">
        <v>1276</v>
      </c>
      <c r="B1349" s="282"/>
      <c r="C1349" s="283" t="s">
        <v>2248</v>
      </c>
      <c r="D1349" s="282" t="s">
        <v>1250</v>
      </c>
      <c r="E1349" s="282" t="s">
        <v>2249</v>
      </c>
      <c r="F1349" s="282" t="s">
        <v>1278</v>
      </c>
      <c r="G1349" s="284" t="s">
        <v>52</v>
      </c>
      <c r="H1349" s="283" t="s">
        <v>2282</v>
      </c>
      <c r="I1349" s="283" t="s">
        <v>2250</v>
      </c>
      <c r="J1349" s="770">
        <v>0.13</v>
      </c>
      <c r="K1349" s="771"/>
    </row>
    <row r="1350" spans="1:11" ht="0.95" customHeight="1" thickTop="1" x14ac:dyDescent="0.2">
      <c r="A1350" s="281"/>
      <c r="B1350" s="281"/>
      <c r="C1350" s="281"/>
      <c r="D1350" s="281"/>
      <c r="E1350" s="281"/>
      <c r="F1350" s="281"/>
      <c r="G1350" s="281"/>
      <c r="H1350" s="281"/>
      <c r="I1350" s="281"/>
      <c r="J1350" s="421"/>
      <c r="K1350" s="421"/>
    </row>
    <row r="1351" spans="1:11" ht="18" customHeight="1" x14ac:dyDescent="0.2">
      <c r="A1351" s="272"/>
      <c r="B1351" s="272" t="s">
        <v>54</v>
      </c>
      <c r="C1351" s="273" t="s">
        <v>1239</v>
      </c>
      <c r="D1351" s="272" t="s">
        <v>1240</v>
      </c>
      <c r="E1351" s="272" t="s">
        <v>1241</v>
      </c>
      <c r="F1351" s="272" t="s">
        <v>1242</v>
      </c>
      <c r="G1351" s="274" t="s">
        <v>60</v>
      </c>
      <c r="H1351" s="273" t="s">
        <v>58</v>
      </c>
      <c r="I1351" s="273" t="s">
        <v>1243</v>
      </c>
      <c r="J1351" s="775" t="s">
        <v>196</v>
      </c>
      <c r="K1351" s="776"/>
    </row>
    <row r="1352" spans="1:11" ht="21.95" customHeight="1" x14ac:dyDescent="0.2">
      <c r="A1352" s="275" t="s">
        <v>1244</v>
      </c>
      <c r="B1352" s="275" t="s">
        <v>4325</v>
      </c>
      <c r="C1352" s="276" t="s">
        <v>4326</v>
      </c>
      <c r="D1352" s="275" t="s">
        <v>1246</v>
      </c>
      <c r="E1352" s="275" t="s">
        <v>3471</v>
      </c>
      <c r="F1352" s="275" t="s">
        <v>1750</v>
      </c>
      <c r="G1352" s="277" t="s">
        <v>52</v>
      </c>
      <c r="H1352" s="276">
        <v>1</v>
      </c>
      <c r="I1352" s="276" t="s">
        <v>4327</v>
      </c>
      <c r="J1352" s="777" t="s">
        <v>4327</v>
      </c>
      <c r="K1352" s="778"/>
    </row>
    <row r="1353" spans="1:11" ht="33" customHeight="1" x14ac:dyDescent="0.2">
      <c r="A1353" s="278" t="s">
        <v>1248</v>
      </c>
      <c r="B1353" s="278"/>
      <c r="C1353" s="279" t="s">
        <v>4262</v>
      </c>
      <c r="D1353" s="278" t="s">
        <v>1250</v>
      </c>
      <c r="E1353" s="278" t="s">
        <v>4263</v>
      </c>
      <c r="F1353" s="278" t="s">
        <v>1364</v>
      </c>
      <c r="G1353" s="280" t="s">
        <v>153</v>
      </c>
      <c r="H1353" s="279" t="s">
        <v>4328</v>
      </c>
      <c r="I1353" s="279" t="s">
        <v>4264</v>
      </c>
      <c r="J1353" s="781">
        <v>845.29</v>
      </c>
      <c r="K1353" s="782"/>
    </row>
    <row r="1354" spans="1:11" ht="44.1" customHeight="1" x14ac:dyDescent="0.2">
      <c r="A1354" s="278" t="s">
        <v>1248</v>
      </c>
      <c r="B1354" s="278"/>
      <c r="C1354" s="279" t="s">
        <v>4329</v>
      </c>
      <c r="D1354" s="278" t="s">
        <v>1250</v>
      </c>
      <c r="E1354" s="278" t="s">
        <v>4330</v>
      </c>
      <c r="F1354" s="278" t="s">
        <v>1385</v>
      </c>
      <c r="G1354" s="280" t="s">
        <v>153</v>
      </c>
      <c r="H1354" s="279" t="s">
        <v>1744</v>
      </c>
      <c r="I1354" s="279" t="s">
        <v>4331</v>
      </c>
      <c r="J1354" s="781">
        <v>88.81</v>
      </c>
      <c r="K1354" s="782"/>
    </row>
    <row r="1355" spans="1:11" ht="21.95" customHeight="1" x14ac:dyDescent="0.2">
      <c r="A1355" s="278" t="s">
        <v>1248</v>
      </c>
      <c r="B1355" s="278"/>
      <c r="C1355" s="279" t="s">
        <v>4332</v>
      </c>
      <c r="D1355" s="278" t="s">
        <v>1250</v>
      </c>
      <c r="E1355" s="278" t="s">
        <v>4333</v>
      </c>
      <c r="F1355" s="278" t="s">
        <v>1385</v>
      </c>
      <c r="G1355" s="280" t="s">
        <v>153</v>
      </c>
      <c r="H1355" s="279" t="s">
        <v>4334</v>
      </c>
      <c r="I1355" s="279" t="s">
        <v>1513</v>
      </c>
      <c r="J1355" s="781">
        <v>119.49</v>
      </c>
      <c r="K1355" s="782"/>
    </row>
    <row r="1356" spans="1:11" ht="21.95" customHeight="1" x14ac:dyDescent="0.2">
      <c r="A1356" s="278" t="s">
        <v>1248</v>
      </c>
      <c r="B1356" s="278"/>
      <c r="C1356" s="279" t="s">
        <v>4265</v>
      </c>
      <c r="D1356" s="278" t="s">
        <v>1250</v>
      </c>
      <c r="E1356" s="278" t="s">
        <v>4266</v>
      </c>
      <c r="F1356" s="278" t="s">
        <v>1364</v>
      </c>
      <c r="G1356" s="280" t="s">
        <v>153</v>
      </c>
      <c r="H1356" s="279" t="s">
        <v>4328</v>
      </c>
      <c r="I1356" s="279" t="s">
        <v>4267</v>
      </c>
      <c r="J1356" s="781">
        <v>256.83999999999997</v>
      </c>
      <c r="K1356" s="782"/>
    </row>
    <row r="1357" spans="1:11" ht="21.95" customHeight="1" x14ac:dyDescent="0.2">
      <c r="A1357" s="278" t="s">
        <v>1248</v>
      </c>
      <c r="B1357" s="278"/>
      <c r="C1357" s="279" t="s">
        <v>1384</v>
      </c>
      <c r="D1357" s="278" t="s">
        <v>1250</v>
      </c>
      <c r="E1357" s="278" t="s">
        <v>243</v>
      </c>
      <c r="F1357" s="278" t="s">
        <v>1385</v>
      </c>
      <c r="G1357" s="280" t="s">
        <v>153</v>
      </c>
      <c r="H1357" s="279" t="s">
        <v>4335</v>
      </c>
      <c r="I1357" s="279" t="s">
        <v>1386</v>
      </c>
      <c r="J1357" s="781">
        <v>979.03</v>
      </c>
      <c r="K1357" s="782"/>
    </row>
    <row r="1358" spans="1:11" ht="21.95" customHeight="1" x14ac:dyDescent="0.2">
      <c r="A1358" s="278" t="s">
        <v>1248</v>
      </c>
      <c r="B1358" s="278"/>
      <c r="C1358" s="279" t="s">
        <v>4336</v>
      </c>
      <c r="D1358" s="278" t="s">
        <v>1250</v>
      </c>
      <c r="E1358" s="278" t="s">
        <v>4337</v>
      </c>
      <c r="F1358" s="278" t="s">
        <v>1364</v>
      </c>
      <c r="G1358" s="280" t="s">
        <v>77</v>
      </c>
      <c r="H1358" s="279" t="s">
        <v>4338</v>
      </c>
      <c r="I1358" s="279" t="s">
        <v>4339</v>
      </c>
      <c r="J1358" s="781">
        <v>419.91</v>
      </c>
      <c r="K1358" s="782"/>
    </row>
    <row r="1359" spans="1:11" ht="21.95" customHeight="1" x14ac:dyDescent="0.2">
      <c r="A1359" s="278" t="s">
        <v>1248</v>
      </c>
      <c r="B1359" s="278"/>
      <c r="C1359" s="279" t="s">
        <v>4340</v>
      </c>
      <c r="D1359" s="278" t="s">
        <v>1250</v>
      </c>
      <c r="E1359" s="278" t="s">
        <v>4341</v>
      </c>
      <c r="F1359" s="278" t="s">
        <v>1364</v>
      </c>
      <c r="G1359" s="280" t="s">
        <v>71</v>
      </c>
      <c r="H1359" s="279" t="s">
        <v>4342</v>
      </c>
      <c r="I1359" s="279" t="s">
        <v>4343</v>
      </c>
      <c r="J1359" s="781">
        <v>202.58</v>
      </c>
      <c r="K1359" s="782"/>
    </row>
    <row r="1360" spans="1:11" ht="44.1" customHeight="1" x14ac:dyDescent="0.2">
      <c r="A1360" s="278" t="s">
        <v>1248</v>
      </c>
      <c r="B1360" s="278"/>
      <c r="C1360" s="279" t="s">
        <v>2173</v>
      </c>
      <c r="D1360" s="278" t="s">
        <v>1250</v>
      </c>
      <c r="E1360" s="278" t="s">
        <v>2174</v>
      </c>
      <c r="F1360" s="278" t="s">
        <v>1364</v>
      </c>
      <c r="G1360" s="280" t="s">
        <v>71</v>
      </c>
      <c r="H1360" s="279" t="s">
        <v>4344</v>
      </c>
      <c r="I1360" s="279" t="s">
        <v>2176</v>
      </c>
      <c r="J1360" s="781">
        <v>725.89</v>
      </c>
      <c r="K1360" s="782"/>
    </row>
    <row r="1361" spans="1:11" ht="44.1" customHeight="1" x14ac:dyDescent="0.2">
      <c r="A1361" s="278" t="s">
        <v>1248</v>
      </c>
      <c r="B1361" s="278"/>
      <c r="C1361" s="279" t="s">
        <v>1819</v>
      </c>
      <c r="D1361" s="278" t="s">
        <v>1250</v>
      </c>
      <c r="E1361" s="278" t="s">
        <v>1820</v>
      </c>
      <c r="F1361" s="278" t="s">
        <v>1364</v>
      </c>
      <c r="G1361" s="280" t="s">
        <v>71</v>
      </c>
      <c r="H1361" s="279" t="s">
        <v>4345</v>
      </c>
      <c r="I1361" s="279" t="s">
        <v>1822</v>
      </c>
      <c r="J1361" s="781">
        <v>278.64999999999998</v>
      </c>
      <c r="K1361" s="782"/>
    </row>
    <row r="1362" spans="1:11" ht="44.1" customHeight="1" x14ac:dyDescent="0.2">
      <c r="A1362" s="278" t="s">
        <v>1248</v>
      </c>
      <c r="B1362" s="278"/>
      <c r="C1362" s="279" t="s">
        <v>4346</v>
      </c>
      <c r="D1362" s="278" t="s">
        <v>1250</v>
      </c>
      <c r="E1362" s="278" t="s">
        <v>4347</v>
      </c>
      <c r="F1362" s="278" t="s">
        <v>1874</v>
      </c>
      <c r="G1362" s="280" t="s">
        <v>52</v>
      </c>
      <c r="H1362" s="279" t="s">
        <v>1417</v>
      </c>
      <c r="I1362" s="279" t="s">
        <v>4348</v>
      </c>
      <c r="J1362" s="781">
        <v>798.18</v>
      </c>
      <c r="K1362" s="782"/>
    </row>
    <row r="1363" spans="1:11" ht="33" customHeight="1" x14ac:dyDescent="0.2">
      <c r="A1363" s="278" t="s">
        <v>1248</v>
      </c>
      <c r="B1363" s="278"/>
      <c r="C1363" s="279" t="s">
        <v>4349</v>
      </c>
      <c r="D1363" s="278" t="s">
        <v>1250</v>
      </c>
      <c r="E1363" s="278" t="s">
        <v>4350</v>
      </c>
      <c r="F1363" s="278" t="s">
        <v>4351</v>
      </c>
      <c r="G1363" s="280" t="s">
        <v>77</v>
      </c>
      <c r="H1363" s="279" t="s">
        <v>4338</v>
      </c>
      <c r="I1363" s="279" t="s">
        <v>4352</v>
      </c>
      <c r="J1363" s="781">
        <v>445.67</v>
      </c>
      <c r="K1363" s="782"/>
    </row>
    <row r="1364" spans="1:11" ht="44.1" customHeight="1" x14ac:dyDescent="0.2">
      <c r="A1364" s="278" t="s">
        <v>1248</v>
      </c>
      <c r="B1364" s="278"/>
      <c r="C1364" s="279" t="s">
        <v>1815</v>
      </c>
      <c r="D1364" s="278" t="s">
        <v>1250</v>
      </c>
      <c r="E1364" s="278" t="s">
        <v>1816</v>
      </c>
      <c r="F1364" s="278" t="s">
        <v>1351</v>
      </c>
      <c r="G1364" s="280" t="s">
        <v>77</v>
      </c>
      <c r="H1364" s="279" t="s">
        <v>4353</v>
      </c>
      <c r="I1364" s="279" t="s">
        <v>1818</v>
      </c>
      <c r="J1364" s="781">
        <v>82.04</v>
      </c>
      <c r="K1364" s="782"/>
    </row>
    <row r="1365" spans="1:11" ht="54.95" customHeight="1" x14ac:dyDescent="0.2">
      <c r="A1365" s="278" t="s">
        <v>1248</v>
      </c>
      <c r="B1365" s="278"/>
      <c r="C1365" s="279" t="s">
        <v>1381</v>
      </c>
      <c r="D1365" s="278" t="s">
        <v>1250</v>
      </c>
      <c r="E1365" s="278" t="s">
        <v>324</v>
      </c>
      <c r="F1365" s="278" t="s">
        <v>1351</v>
      </c>
      <c r="G1365" s="280" t="s">
        <v>77</v>
      </c>
      <c r="H1365" s="279" t="s">
        <v>4338</v>
      </c>
      <c r="I1365" s="279" t="s">
        <v>1383</v>
      </c>
      <c r="J1365" s="781">
        <v>369.67</v>
      </c>
      <c r="K1365" s="782"/>
    </row>
    <row r="1366" spans="1:11" ht="33" customHeight="1" x14ac:dyDescent="0.2">
      <c r="A1366" s="278" t="s">
        <v>1248</v>
      </c>
      <c r="B1366" s="278"/>
      <c r="C1366" s="279" t="s">
        <v>1845</v>
      </c>
      <c r="D1366" s="278" t="s">
        <v>1250</v>
      </c>
      <c r="E1366" s="278" t="s">
        <v>1846</v>
      </c>
      <c r="F1366" s="278" t="s">
        <v>1364</v>
      </c>
      <c r="G1366" s="280" t="s">
        <v>77</v>
      </c>
      <c r="H1366" s="279" t="s">
        <v>4354</v>
      </c>
      <c r="I1366" s="279" t="s">
        <v>1848</v>
      </c>
      <c r="J1366" s="781">
        <v>501.6</v>
      </c>
      <c r="K1366" s="782"/>
    </row>
    <row r="1367" spans="1:11" ht="33" customHeight="1" thickBot="1" x14ac:dyDescent="0.25">
      <c r="A1367" s="278" t="s">
        <v>1248</v>
      </c>
      <c r="B1367" s="278"/>
      <c r="C1367" s="279" t="s">
        <v>4355</v>
      </c>
      <c r="D1367" s="278" t="s">
        <v>1250</v>
      </c>
      <c r="E1367" s="278" t="s">
        <v>690</v>
      </c>
      <c r="F1367" s="278" t="s">
        <v>1379</v>
      </c>
      <c r="G1367" s="280" t="s">
        <v>77</v>
      </c>
      <c r="H1367" s="279" t="s">
        <v>4356</v>
      </c>
      <c r="I1367" s="279" t="s">
        <v>4357</v>
      </c>
      <c r="J1367" s="784">
        <v>1164.47</v>
      </c>
      <c r="K1367" s="785"/>
    </row>
    <row r="1368" spans="1:11" ht="0.95" customHeight="1" thickTop="1" x14ac:dyDescent="0.2">
      <c r="A1368" s="281"/>
      <c r="B1368" s="281"/>
      <c r="C1368" s="281"/>
      <c r="D1368" s="281"/>
      <c r="E1368" s="281"/>
      <c r="F1368" s="281"/>
      <c r="G1368" s="281"/>
      <c r="H1368" s="281"/>
      <c r="I1368" s="281"/>
      <c r="J1368" s="421"/>
      <c r="K1368" s="421"/>
    </row>
    <row r="1369" spans="1:11" ht="18" customHeight="1" x14ac:dyDescent="0.2">
      <c r="A1369" s="272"/>
      <c r="B1369" s="272" t="s">
        <v>54</v>
      </c>
      <c r="C1369" s="273" t="s">
        <v>1239</v>
      </c>
      <c r="D1369" s="272" t="s">
        <v>1240</v>
      </c>
      <c r="E1369" s="272" t="s">
        <v>1241</v>
      </c>
      <c r="F1369" s="272" t="s">
        <v>1242</v>
      </c>
      <c r="G1369" s="274" t="s">
        <v>60</v>
      </c>
      <c r="H1369" s="273" t="s">
        <v>58</v>
      </c>
      <c r="I1369" s="273" t="s">
        <v>1243</v>
      </c>
      <c r="J1369" s="775" t="s">
        <v>196</v>
      </c>
      <c r="K1369" s="776"/>
    </row>
    <row r="1370" spans="1:11" ht="21.95" customHeight="1" x14ac:dyDescent="0.2">
      <c r="A1370" s="275" t="s">
        <v>1244</v>
      </c>
      <c r="B1370" s="275" t="s">
        <v>4358</v>
      </c>
      <c r="C1370" s="276" t="s">
        <v>4359</v>
      </c>
      <c r="D1370" s="275" t="s">
        <v>1246</v>
      </c>
      <c r="E1370" s="275" t="s">
        <v>3473</v>
      </c>
      <c r="F1370" s="275" t="s">
        <v>1750</v>
      </c>
      <c r="G1370" s="277" t="s">
        <v>52</v>
      </c>
      <c r="H1370" s="276">
        <v>1</v>
      </c>
      <c r="I1370" s="276" t="s">
        <v>4360</v>
      </c>
      <c r="J1370" s="777" t="s">
        <v>4360</v>
      </c>
      <c r="K1370" s="778"/>
    </row>
    <row r="1371" spans="1:11" ht="33" customHeight="1" x14ac:dyDescent="0.2">
      <c r="A1371" s="278" t="s">
        <v>1248</v>
      </c>
      <c r="B1371" s="278"/>
      <c r="C1371" s="279" t="s">
        <v>4262</v>
      </c>
      <c r="D1371" s="278" t="s">
        <v>1250</v>
      </c>
      <c r="E1371" s="278" t="s">
        <v>4263</v>
      </c>
      <c r="F1371" s="278" t="s">
        <v>1364</v>
      </c>
      <c r="G1371" s="280" t="s">
        <v>153</v>
      </c>
      <c r="H1371" s="279" t="s">
        <v>2370</v>
      </c>
      <c r="I1371" s="279" t="s">
        <v>4264</v>
      </c>
      <c r="J1371" s="781">
        <v>1339.88</v>
      </c>
      <c r="K1371" s="782"/>
    </row>
    <row r="1372" spans="1:11" ht="44.1" customHeight="1" x14ac:dyDescent="0.2">
      <c r="A1372" s="278" t="s">
        <v>1248</v>
      </c>
      <c r="B1372" s="278"/>
      <c r="C1372" s="279" t="s">
        <v>4329</v>
      </c>
      <c r="D1372" s="278" t="s">
        <v>1250</v>
      </c>
      <c r="E1372" s="278" t="s">
        <v>4330</v>
      </c>
      <c r="F1372" s="278" t="s">
        <v>1385</v>
      </c>
      <c r="G1372" s="280" t="s">
        <v>153</v>
      </c>
      <c r="H1372" s="279" t="s">
        <v>4361</v>
      </c>
      <c r="I1372" s="279" t="s">
        <v>4331</v>
      </c>
      <c r="J1372" s="781">
        <v>337.18</v>
      </c>
      <c r="K1372" s="782"/>
    </row>
    <row r="1373" spans="1:11" ht="21.95" customHeight="1" x14ac:dyDescent="0.2">
      <c r="A1373" s="278" t="s">
        <v>1248</v>
      </c>
      <c r="B1373" s="278"/>
      <c r="C1373" s="279" t="s">
        <v>4332</v>
      </c>
      <c r="D1373" s="278" t="s">
        <v>1250</v>
      </c>
      <c r="E1373" s="278" t="s">
        <v>4333</v>
      </c>
      <c r="F1373" s="278" t="s">
        <v>1385</v>
      </c>
      <c r="G1373" s="280" t="s">
        <v>153</v>
      </c>
      <c r="H1373" s="279" t="s">
        <v>4362</v>
      </c>
      <c r="I1373" s="279" t="s">
        <v>1513</v>
      </c>
      <c r="J1373" s="781">
        <v>360.93</v>
      </c>
      <c r="K1373" s="782"/>
    </row>
    <row r="1374" spans="1:11" ht="21.95" customHeight="1" x14ac:dyDescent="0.2">
      <c r="A1374" s="278" t="s">
        <v>1248</v>
      </c>
      <c r="B1374" s="278"/>
      <c r="C1374" s="279" t="s">
        <v>4265</v>
      </c>
      <c r="D1374" s="278" t="s">
        <v>1250</v>
      </c>
      <c r="E1374" s="278" t="s">
        <v>4266</v>
      </c>
      <c r="F1374" s="278" t="s">
        <v>1364</v>
      </c>
      <c r="G1374" s="280" t="s">
        <v>153</v>
      </c>
      <c r="H1374" s="279" t="s">
        <v>2370</v>
      </c>
      <c r="I1374" s="279" t="s">
        <v>4267</v>
      </c>
      <c r="J1374" s="781">
        <v>407.12</v>
      </c>
      <c r="K1374" s="782"/>
    </row>
    <row r="1375" spans="1:11" ht="21.95" customHeight="1" x14ac:dyDescent="0.2">
      <c r="A1375" s="278" t="s">
        <v>1248</v>
      </c>
      <c r="B1375" s="278"/>
      <c r="C1375" s="279" t="s">
        <v>1384</v>
      </c>
      <c r="D1375" s="278" t="s">
        <v>1250</v>
      </c>
      <c r="E1375" s="278" t="s">
        <v>243</v>
      </c>
      <c r="F1375" s="278" t="s">
        <v>1385</v>
      </c>
      <c r="G1375" s="280" t="s">
        <v>153</v>
      </c>
      <c r="H1375" s="279" t="s">
        <v>4363</v>
      </c>
      <c r="I1375" s="279" t="s">
        <v>1386</v>
      </c>
      <c r="J1375" s="781">
        <v>2458.56</v>
      </c>
      <c r="K1375" s="782"/>
    </row>
    <row r="1376" spans="1:11" ht="44.1" customHeight="1" x14ac:dyDescent="0.2">
      <c r="A1376" s="278" t="s">
        <v>1248</v>
      </c>
      <c r="B1376" s="278"/>
      <c r="C1376" s="279" t="s">
        <v>4364</v>
      </c>
      <c r="D1376" s="278" t="s">
        <v>1250</v>
      </c>
      <c r="E1376" s="278" t="s">
        <v>4365</v>
      </c>
      <c r="F1376" s="278" t="s">
        <v>1364</v>
      </c>
      <c r="G1376" s="280" t="s">
        <v>77</v>
      </c>
      <c r="H1376" s="279" t="s">
        <v>4366</v>
      </c>
      <c r="I1376" s="279" t="s">
        <v>4367</v>
      </c>
      <c r="J1376" s="781">
        <v>2668.87</v>
      </c>
      <c r="K1376" s="782"/>
    </row>
    <row r="1377" spans="1:11" ht="21.95" customHeight="1" x14ac:dyDescent="0.2">
      <c r="A1377" s="278" t="s">
        <v>1248</v>
      </c>
      <c r="B1377" s="278"/>
      <c r="C1377" s="279" t="s">
        <v>4340</v>
      </c>
      <c r="D1377" s="278" t="s">
        <v>1250</v>
      </c>
      <c r="E1377" s="278" t="s">
        <v>4341</v>
      </c>
      <c r="F1377" s="278" t="s">
        <v>1364</v>
      </c>
      <c r="G1377" s="280" t="s">
        <v>71</v>
      </c>
      <c r="H1377" s="279" t="s">
        <v>4368</v>
      </c>
      <c r="I1377" s="279" t="s">
        <v>4343</v>
      </c>
      <c r="J1377" s="781">
        <v>329.14</v>
      </c>
      <c r="K1377" s="782"/>
    </row>
    <row r="1378" spans="1:11" ht="44.1" customHeight="1" x14ac:dyDescent="0.2">
      <c r="A1378" s="278" t="s">
        <v>1248</v>
      </c>
      <c r="B1378" s="278"/>
      <c r="C1378" s="279" t="s">
        <v>2173</v>
      </c>
      <c r="D1378" s="278" t="s">
        <v>1250</v>
      </c>
      <c r="E1378" s="278" t="s">
        <v>2174</v>
      </c>
      <c r="F1378" s="278" t="s">
        <v>1364</v>
      </c>
      <c r="G1378" s="280" t="s">
        <v>71</v>
      </c>
      <c r="H1378" s="279" t="s">
        <v>4369</v>
      </c>
      <c r="I1378" s="279" t="s">
        <v>2176</v>
      </c>
      <c r="J1378" s="781">
        <v>953.33</v>
      </c>
      <c r="K1378" s="782"/>
    </row>
    <row r="1379" spans="1:11" ht="44.1" customHeight="1" x14ac:dyDescent="0.2">
      <c r="A1379" s="278" t="s">
        <v>1248</v>
      </c>
      <c r="B1379" s="278"/>
      <c r="C1379" s="279" t="s">
        <v>1819</v>
      </c>
      <c r="D1379" s="278" t="s">
        <v>1250</v>
      </c>
      <c r="E1379" s="278" t="s">
        <v>1820</v>
      </c>
      <c r="F1379" s="278" t="s">
        <v>1364</v>
      </c>
      <c r="G1379" s="280" t="s">
        <v>71</v>
      </c>
      <c r="H1379" s="279" t="s">
        <v>4370</v>
      </c>
      <c r="I1379" s="279" t="s">
        <v>1822</v>
      </c>
      <c r="J1379" s="781">
        <v>323.08</v>
      </c>
      <c r="K1379" s="782"/>
    </row>
    <row r="1380" spans="1:11" ht="44.1" customHeight="1" x14ac:dyDescent="0.2">
      <c r="A1380" s="278" t="s">
        <v>1248</v>
      </c>
      <c r="B1380" s="278"/>
      <c r="C1380" s="279" t="s">
        <v>4346</v>
      </c>
      <c r="D1380" s="278" t="s">
        <v>1250</v>
      </c>
      <c r="E1380" s="278" t="s">
        <v>4347</v>
      </c>
      <c r="F1380" s="278" t="s">
        <v>1874</v>
      </c>
      <c r="G1380" s="280" t="s">
        <v>52</v>
      </c>
      <c r="H1380" s="279" t="s">
        <v>1417</v>
      </c>
      <c r="I1380" s="279" t="s">
        <v>4348</v>
      </c>
      <c r="J1380" s="781">
        <v>798.18</v>
      </c>
      <c r="K1380" s="782"/>
    </row>
    <row r="1381" spans="1:11" ht="33" customHeight="1" x14ac:dyDescent="0.2">
      <c r="A1381" s="278" t="s">
        <v>1248</v>
      </c>
      <c r="B1381" s="278"/>
      <c r="C1381" s="279" t="s">
        <v>4349</v>
      </c>
      <c r="D1381" s="278" t="s">
        <v>1250</v>
      </c>
      <c r="E1381" s="278" t="s">
        <v>4350</v>
      </c>
      <c r="F1381" s="278" t="s">
        <v>4351</v>
      </c>
      <c r="G1381" s="280" t="s">
        <v>77</v>
      </c>
      <c r="H1381" s="279" t="s">
        <v>4371</v>
      </c>
      <c r="I1381" s="279" t="s">
        <v>4352</v>
      </c>
      <c r="J1381" s="781">
        <v>721.49</v>
      </c>
      <c r="K1381" s="782"/>
    </row>
    <row r="1382" spans="1:11" ht="44.1" customHeight="1" x14ac:dyDescent="0.2">
      <c r="A1382" s="278" t="s">
        <v>1248</v>
      </c>
      <c r="B1382" s="278"/>
      <c r="C1382" s="279" t="s">
        <v>1815</v>
      </c>
      <c r="D1382" s="278" t="s">
        <v>1250</v>
      </c>
      <c r="E1382" s="278" t="s">
        <v>1816</v>
      </c>
      <c r="F1382" s="278" t="s">
        <v>1351</v>
      </c>
      <c r="G1382" s="280" t="s">
        <v>77</v>
      </c>
      <c r="H1382" s="279" t="s">
        <v>4371</v>
      </c>
      <c r="I1382" s="279" t="s">
        <v>1818</v>
      </c>
      <c r="J1382" s="781">
        <v>66.400000000000006</v>
      </c>
      <c r="K1382" s="782"/>
    </row>
    <row r="1383" spans="1:11" ht="54.95" customHeight="1" x14ac:dyDescent="0.2">
      <c r="A1383" s="278" t="s">
        <v>1248</v>
      </c>
      <c r="B1383" s="278"/>
      <c r="C1383" s="279" t="s">
        <v>1381</v>
      </c>
      <c r="D1383" s="278" t="s">
        <v>1250</v>
      </c>
      <c r="E1383" s="278" t="s">
        <v>324</v>
      </c>
      <c r="F1383" s="278" t="s">
        <v>1351</v>
      </c>
      <c r="G1383" s="280" t="s">
        <v>77</v>
      </c>
      <c r="H1383" s="279" t="s">
        <v>4371</v>
      </c>
      <c r="I1383" s="279" t="s">
        <v>1383</v>
      </c>
      <c r="J1383" s="781">
        <v>598.45000000000005</v>
      </c>
      <c r="K1383" s="782"/>
    </row>
    <row r="1384" spans="1:11" ht="33" customHeight="1" x14ac:dyDescent="0.2">
      <c r="A1384" s="278" t="s">
        <v>1248</v>
      </c>
      <c r="B1384" s="278"/>
      <c r="C1384" s="279" t="s">
        <v>1845</v>
      </c>
      <c r="D1384" s="278" t="s">
        <v>1250</v>
      </c>
      <c r="E1384" s="278" t="s">
        <v>1846</v>
      </c>
      <c r="F1384" s="278" t="s">
        <v>1364</v>
      </c>
      <c r="G1384" s="280" t="s">
        <v>77</v>
      </c>
      <c r="H1384" s="279" t="s">
        <v>4372</v>
      </c>
      <c r="I1384" s="279" t="s">
        <v>1848</v>
      </c>
      <c r="J1384" s="781">
        <v>1086.01</v>
      </c>
      <c r="K1384" s="782"/>
    </row>
    <row r="1385" spans="1:11" ht="33" customHeight="1" thickBot="1" x14ac:dyDescent="0.25">
      <c r="A1385" s="278" t="s">
        <v>1248</v>
      </c>
      <c r="B1385" s="278"/>
      <c r="C1385" s="279" t="s">
        <v>4355</v>
      </c>
      <c r="D1385" s="278" t="s">
        <v>1250</v>
      </c>
      <c r="E1385" s="278" t="s">
        <v>690</v>
      </c>
      <c r="F1385" s="278" t="s">
        <v>1379</v>
      </c>
      <c r="G1385" s="280" t="s">
        <v>77</v>
      </c>
      <c r="H1385" s="279" t="s">
        <v>4373</v>
      </c>
      <c r="I1385" s="279" t="s">
        <v>4357</v>
      </c>
      <c r="J1385" s="784">
        <v>1206.73</v>
      </c>
      <c r="K1385" s="785"/>
    </row>
    <row r="1386" spans="1:11" ht="0.95" customHeight="1" thickTop="1" x14ac:dyDescent="0.2">
      <c r="A1386" s="281"/>
      <c r="B1386" s="281"/>
      <c r="C1386" s="281"/>
      <c r="D1386" s="281"/>
      <c r="E1386" s="281"/>
      <c r="F1386" s="281"/>
      <c r="G1386" s="281"/>
      <c r="H1386" s="281"/>
      <c r="I1386" s="281"/>
      <c r="J1386" s="421"/>
      <c r="K1386" s="421"/>
    </row>
    <row r="1387" spans="1:11" ht="18" customHeight="1" x14ac:dyDescent="0.2">
      <c r="A1387" s="272"/>
      <c r="B1387" s="272" t="s">
        <v>54</v>
      </c>
      <c r="C1387" s="273" t="s">
        <v>1239</v>
      </c>
      <c r="D1387" s="272" t="s">
        <v>1240</v>
      </c>
      <c r="E1387" s="272" t="s">
        <v>1241</v>
      </c>
      <c r="F1387" s="272" t="s">
        <v>1242</v>
      </c>
      <c r="G1387" s="274" t="s">
        <v>60</v>
      </c>
      <c r="H1387" s="273" t="s">
        <v>58</v>
      </c>
      <c r="I1387" s="273" t="s">
        <v>1243</v>
      </c>
      <c r="J1387" s="775" t="s">
        <v>196</v>
      </c>
      <c r="K1387" s="776"/>
    </row>
    <row r="1388" spans="1:11" ht="21.95" customHeight="1" x14ac:dyDescent="0.2">
      <c r="A1388" s="275" t="s">
        <v>1244</v>
      </c>
      <c r="B1388" s="275" t="s">
        <v>4374</v>
      </c>
      <c r="C1388" s="276" t="s">
        <v>4375</v>
      </c>
      <c r="D1388" s="275" t="s">
        <v>1246</v>
      </c>
      <c r="E1388" s="275" t="s">
        <v>3475</v>
      </c>
      <c r="F1388" s="275" t="s">
        <v>1750</v>
      </c>
      <c r="G1388" s="277" t="s">
        <v>52</v>
      </c>
      <c r="H1388" s="276">
        <v>1</v>
      </c>
      <c r="I1388" s="276" t="s">
        <v>4376</v>
      </c>
      <c r="J1388" s="777" t="s">
        <v>4376</v>
      </c>
      <c r="K1388" s="778"/>
    </row>
    <row r="1389" spans="1:11" ht="44.1" customHeight="1" x14ac:dyDescent="0.2">
      <c r="A1389" s="278" t="s">
        <v>1248</v>
      </c>
      <c r="B1389" s="278"/>
      <c r="C1389" s="279" t="s">
        <v>4377</v>
      </c>
      <c r="D1389" s="278" t="s">
        <v>1250</v>
      </c>
      <c r="E1389" s="278" t="s">
        <v>4378</v>
      </c>
      <c r="F1389" s="278" t="s">
        <v>1385</v>
      </c>
      <c r="G1389" s="280" t="s">
        <v>153</v>
      </c>
      <c r="H1389" s="279" t="s">
        <v>4379</v>
      </c>
      <c r="I1389" s="279" t="s">
        <v>4380</v>
      </c>
      <c r="J1389" s="781">
        <v>960.81</v>
      </c>
      <c r="K1389" s="782"/>
    </row>
    <row r="1390" spans="1:11" ht="21.95" customHeight="1" x14ac:dyDescent="0.2">
      <c r="A1390" s="278" t="s">
        <v>1248</v>
      </c>
      <c r="B1390" s="278"/>
      <c r="C1390" s="279" t="s">
        <v>1384</v>
      </c>
      <c r="D1390" s="278" t="s">
        <v>1250</v>
      </c>
      <c r="E1390" s="278" t="s">
        <v>243</v>
      </c>
      <c r="F1390" s="278" t="s">
        <v>1385</v>
      </c>
      <c r="G1390" s="280" t="s">
        <v>153</v>
      </c>
      <c r="H1390" s="279" t="s">
        <v>4381</v>
      </c>
      <c r="I1390" s="279" t="s">
        <v>1386</v>
      </c>
      <c r="J1390" s="781">
        <v>674.11</v>
      </c>
      <c r="K1390" s="782"/>
    </row>
    <row r="1391" spans="1:11" ht="21.95" customHeight="1" x14ac:dyDescent="0.2">
      <c r="A1391" s="278" t="s">
        <v>1248</v>
      </c>
      <c r="B1391" s="278"/>
      <c r="C1391" s="279" t="s">
        <v>2111</v>
      </c>
      <c r="D1391" s="278" t="s">
        <v>1250</v>
      </c>
      <c r="E1391" s="278" t="s">
        <v>246</v>
      </c>
      <c r="F1391" s="278" t="s">
        <v>1385</v>
      </c>
      <c r="G1391" s="280" t="s">
        <v>153</v>
      </c>
      <c r="H1391" s="279" t="s">
        <v>4382</v>
      </c>
      <c r="I1391" s="279" t="s">
        <v>2113</v>
      </c>
      <c r="J1391" s="781">
        <v>184.18</v>
      </c>
      <c r="K1391" s="782"/>
    </row>
    <row r="1392" spans="1:11" ht="21.95" customHeight="1" x14ac:dyDescent="0.2">
      <c r="A1392" s="278" t="s">
        <v>1248</v>
      </c>
      <c r="B1392" s="278"/>
      <c r="C1392" s="279" t="s">
        <v>1425</v>
      </c>
      <c r="D1392" s="278" t="s">
        <v>1246</v>
      </c>
      <c r="E1392" s="278" t="s">
        <v>422</v>
      </c>
      <c r="F1392" s="278" t="s">
        <v>1364</v>
      </c>
      <c r="G1392" s="280" t="s">
        <v>77</v>
      </c>
      <c r="H1392" s="279" t="s">
        <v>4383</v>
      </c>
      <c r="I1392" s="279" t="s">
        <v>1426</v>
      </c>
      <c r="J1392" s="781">
        <v>205.92</v>
      </c>
      <c r="K1392" s="782"/>
    </row>
    <row r="1393" spans="1:11" ht="44.1" customHeight="1" x14ac:dyDescent="0.2">
      <c r="A1393" s="278" t="s">
        <v>1248</v>
      </c>
      <c r="B1393" s="278"/>
      <c r="C1393" s="279" t="s">
        <v>4346</v>
      </c>
      <c r="D1393" s="278" t="s">
        <v>1250</v>
      </c>
      <c r="E1393" s="278" t="s">
        <v>4347</v>
      </c>
      <c r="F1393" s="278" t="s">
        <v>1874</v>
      </c>
      <c r="G1393" s="280" t="s">
        <v>52</v>
      </c>
      <c r="H1393" s="279" t="s">
        <v>1262</v>
      </c>
      <c r="I1393" s="279" t="s">
        <v>4348</v>
      </c>
      <c r="J1393" s="781">
        <v>399.09</v>
      </c>
      <c r="K1393" s="782"/>
    </row>
    <row r="1394" spans="1:11" ht="33" customHeight="1" x14ac:dyDescent="0.2">
      <c r="A1394" s="278" t="s">
        <v>1248</v>
      </c>
      <c r="B1394" s="278"/>
      <c r="C1394" s="279" t="s">
        <v>1845</v>
      </c>
      <c r="D1394" s="278" t="s">
        <v>1250</v>
      </c>
      <c r="E1394" s="278" t="s">
        <v>1846</v>
      </c>
      <c r="F1394" s="278" t="s">
        <v>1364</v>
      </c>
      <c r="G1394" s="280" t="s">
        <v>77</v>
      </c>
      <c r="H1394" s="279" t="s">
        <v>4384</v>
      </c>
      <c r="I1394" s="279" t="s">
        <v>1848</v>
      </c>
      <c r="J1394" s="781">
        <v>250</v>
      </c>
      <c r="K1394" s="782"/>
    </row>
    <row r="1395" spans="1:11" ht="21.95" customHeight="1" x14ac:dyDescent="0.2">
      <c r="A1395" s="278" t="s">
        <v>1248</v>
      </c>
      <c r="B1395" s="278"/>
      <c r="C1395" s="279" t="s">
        <v>4385</v>
      </c>
      <c r="D1395" s="278" t="s">
        <v>1246</v>
      </c>
      <c r="E1395" s="278" t="s">
        <v>4386</v>
      </c>
      <c r="F1395" s="278" t="s">
        <v>1874</v>
      </c>
      <c r="G1395" s="280" t="s">
        <v>75</v>
      </c>
      <c r="H1395" s="279" t="s">
        <v>4387</v>
      </c>
      <c r="I1395" s="279" t="s">
        <v>4388</v>
      </c>
      <c r="J1395" s="781">
        <v>3094.32</v>
      </c>
      <c r="K1395" s="782"/>
    </row>
    <row r="1396" spans="1:11" ht="21.95" customHeight="1" x14ac:dyDescent="0.2">
      <c r="A1396" s="278" t="s">
        <v>1248</v>
      </c>
      <c r="B1396" s="278"/>
      <c r="C1396" s="279" t="s">
        <v>4389</v>
      </c>
      <c r="D1396" s="278" t="s">
        <v>1250</v>
      </c>
      <c r="E1396" s="278" t="s">
        <v>4390</v>
      </c>
      <c r="F1396" s="278" t="s">
        <v>4391</v>
      </c>
      <c r="G1396" s="280" t="s">
        <v>153</v>
      </c>
      <c r="H1396" s="279" t="s">
        <v>4392</v>
      </c>
      <c r="I1396" s="279" t="s">
        <v>4393</v>
      </c>
      <c r="J1396" s="781">
        <v>500.42</v>
      </c>
      <c r="K1396" s="782"/>
    </row>
    <row r="1397" spans="1:11" ht="33" customHeight="1" x14ac:dyDescent="0.2">
      <c r="A1397" s="278" t="s">
        <v>1248</v>
      </c>
      <c r="B1397" s="278"/>
      <c r="C1397" s="279" t="s">
        <v>4349</v>
      </c>
      <c r="D1397" s="278" t="s">
        <v>1250</v>
      </c>
      <c r="E1397" s="278" t="s">
        <v>4350</v>
      </c>
      <c r="F1397" s="278" t="s">
        <v>4351</v>
      </c>
      <c r="G1397" s="280" t="s">
        <v>77</v>
      </c>
      <c r="H1397" s="279" t="s">
        <v>4394</v>
      </c>
      <c r="I1397" s="279" t="s">
        <v>4352</v>
      </c>
      <c r="J1397" s="781">
        <v>174.9</v>
      </c>
      <c r="K1397" s="782"/>
    </row>
    <row r="1398" spans="1:11" ht="33" customHeight="1" x14ac:dyDescent="0.2">
      <c r="A1398" s="278" t="s">
        <v>1248</v>
      </c>
      <c r="B1398" s="278"/>
      <c r="C1398" s="279" t="s">
        <v>4262</v>
      </c>
      <c r="D1398" s="278" t="s">
        <v>1250</v>
      </c>
      <c r="E1398" s="278" t="s">
        <v>4263</v>
      </c>
      <c r="F1398" s="278" t="s">
        <v>1364</v>
      </c>
      <c r="G1398" s="280" t="s">
        <v>153</v>
      </c>
      <c r="H1398" s="279" t="s">
        <v>1738</v>
      </c>
      <c r="I1398" s="279" t="s">
        <v>4264</v>
      </c>
      <c r="J1398" s="781">
        <v>113.9</v>
      </c>
      <c r="K1398" s="782"/>
    </row>
    <row r="1399" spans="1:11" ht="21.95" customHeight="1" thickBot="1" x14ac:dyDescent="0.25">
      <c r="A1399" s="278" t="s">
        <v>1248</v>
      </c>
      <c r="B1399" s="278"/>
      <c r="C1399" s="279" t="s">
        <v>4395</v>
      </c>
      <c r="D1399" s="278" t="s">
        <v>1250</v>
      </c>
      <c r="E1399" s="278" t="s">
        <v>4396</v>
      </c>
      <c r="F1399" s="278" t="s">
        <v>1364</v>
      </c>
      <c r="G1399" s="280" t="s">
        <v>77</v>
      </c>
      <c r="H1399" s="279" t="s">
        <v>4384</v>
      </c>
      <c r="I1399" s="279" t="s">
        <v>4397</v>
      </c>
      <c r="J1399" s="784">
        <v>120.73</v>
      </c>
      <c r="K1399" s="785"/>
    </row>
    <row r="1400" spans="1:11" ht="0.95" customHeight="1" thickTop="1" x14ac:dyDescent="0.2">
      <c r="A1400" s="281"/>
      <c r="B1400" s="281"/>
      <c r="C1400" s="281"/>
      <c r="D1400" s="281"/>
      <c r="E1400" s="281"/>
      <c r="F1400" s="281"/>
      <c r="G1400" s="281"/>
      <c r="H1400" s="281"/>
      <c r="I1400" s="281"/>
      <c r="J1400" s="421"/>
      <c r="K1400" s="421"/>
    </row>
    <row r="1401" spans="1:11" ht="18" customHeight="1" x14ac:dyDescent="0.2">
      <c r="A1401" s="272"/>
      <c r="B1401" s="272" t="s">
        <v>54</v>
      </c>
      <c r="C1401" s="273" t="s">
        <v>1239</v>
      </c>
      <c r="D1401" s="272" t="s">
        <v>1240</v>
      </c>
      <c r="E1401" s="272" t="s">
        <v>1241</v>
      </c>
      <c r="F1401" s="272" t="s">
        <v>1242</v>
      </c>
      <c r="G1401" s="274" t="s">
        <v>60</v>
      </c>
      <c r="H1401" s="273" t="s">
        <v>58</v>
      </c>
      <c r="I1401" s="273" t="s">
        <v>1243</v>
      </c>
      <c r="J1401" s="775" t="s">
        <v>196</v>
      </c>
      <c r="K1401" s="776"/>
    </row>
    <row r="1402" spans="1:11" ht="33" customHeight="1" x14ac:dyDescent="0.2">
      <c r="A1402" s="275" t="s">
        <v>1244</v>
      </c>
      <c r="B1402" s="275" t="s">
        <v>4398</v>
      </c>
      <c r="C1402" s="276" t="s">
        <v>4399</v>
      </c>
      <c r="D1402" s="275" t="s">
        <v>1246</v>
      </c>
      <c r="E1402" s="275" t="s">
        <v>3477</v>
      </c>
      <c r="F1402" s="275" t="s">
        <v>1750</v>
      </c>
      <c r="G1402" s="277" t="s">
        <v>52</v>
      </c>
      <c r="H1402" s="276">
        <v>1</v>
      </c>
      <c r="I1402" s="276" t="s">
        <v>4400</v>
      </c>
      <c r="J1402" s="777" t="s">
        <v>4400</v>
      </c>
      <c r="K1402" s="778"/>
    </row>
    <row r="1403" spans="1:11" ht="33" customHeight="1" x14ac:dyDescent="0.2">
      <c r="A1403" s="278" t="s">
        <v>1248</v>
      </c>
      <c r="B1403" s="278"/>
      <c r="C1403" s="279" t="s">
        <v>4355</v>
      </c>
      <c r="D1403" s="278" t="s">
        <v>1250</v>
      </c>
      <c r="E1403" s="278" t="s">
        <v>690</v>
      </c>
      <c r="F1403" s="278" t="s">
        <v>1379</v>
      </c>
      <c r="G1403" s="280" t="s">
        <v>77</v>
      </c>
      <c r="H1403" s="279" t="s">
        <v>4401</v>
      </c>
      <c r="I1403" s="279" t="s">
        <v>4357</v>
      </c>
      <c r="J1403" s="781">
        <v>1807.32</v>
      </c>
      <c r="K1403" s="782"/>
    </row>
    <row r="1404" spans="1:11" ht="21.95" customHeight="1" x14ac:dyDescent="0.2">
      <c r="A1404" s="278" t="s">
        <v>1248</v>
      </c>
      <c r="B1404" s="278"/>
      <c r="C1404" s="279" t="s">
        <v>1384</v>
      </c>
      <c r="D1404" s="278" t="s">
        <v>1250</v>
      </c>
      <c r="E1404" s="278" t="s">
        <v>243</v>
      </c>
      <c r="F1404" s="278" t="s">
        <v>1385</v>
      </c>
      <c r="G1404" s="280" t="s">
        <v>153</v>
      </c>
      <c r="H1404" s="279" t="s">
        <v>4402</v>
      </c>
      <c r="I1404" s="279" t="s">
        <v>1386</v>
      </c>
      <c r="J1404" s="781">
        <v>1338.88</v>
      </c>
      <c r="K1404" s="782"/>
    </row>
    <row r="1405" spans="1:11" ht="21.95" customHeight="1" x14ac:dyDescent="0.2">
      <c r="A1405" s="278" t="s">
        <v>1248</v>
      </c>
      <c r="B1405" s="278"/>
      <c r="C1405" s="279" t="s">
        <v>4403</v>
      </c>
      <c r="D1405" s="278" t="s">
        <v>1250</v>
      </c>
      <c r="E1405" s="278" t="s">
        <v>4404</v>
      </c>
      <c r="F1405" s="278" t="s">
        <v>1750</v>
      </c>
      <c r="G1405" s="280" t="s">
        <v>52</v>
      </c>
      <c r="H1405" s="279" t="s">
        <v>1262</v>
      </c>
      <c r="I1405" s="279" t="s">
        <v>4405</v>
      </c>
      <c r="J1405" s="781">
        <v>20.83</v>
      </c>
      <c r="K1405" s="782"/>
    </row>
    <row r="1406" spans="1:11" ht="33" customHeight="1" thickBot="1" x14ac:dyDescent="0.25">
      <c r="A1406" s="278" t="s">
        <v>1248</v>
      </c>
      <c r="B1406" s="278"/>
      <c r="C1406" s="279" t="s">
        <v>1845</v>
      </c>
      <c r="D1406" s="278" t="s">
        <v>1250</v>
      </c>
      <c r="E1406" s="278" t="s">
        <v>1846</v>
      </c>
      <c r="F1406" s="278" t="s">
        <v>1364</v>
      </c>
      <c r="G1406" s="280" t="s">
        <v>77</v>
      </c>
      <c r="H1406" s="279" t="s">
        <v>4383</v>
      </c>
      <c r="I1406" s="279" t="s">
        <v>1848</v>
      </c>
      <c r="J1406" s="784">
        <v>750.02</v>
      </c>
      <c r="K1406" s="785"/>
    </row>
    <row r="1407" spans="1:11" ht="0.95" customHeight="1" thickTop="1" x14ac:dyDescent="0.2">
      <c r="A1407" s="281"/>
      <c r="B1407" s="281"/>
      <c r="C1407" s="281"/>
      <c r="D1407" s="281"/>
      <c r="E1407" s="281"/>
      <c r="F1407" s="281"/>
      <c r="G1407" s="281"/>
      <c r="H1407" s="281"/>
      <c r="I1407" s="281"/>
      <c r="J1407" s="421"/>
      <c r="K1407" s="421"/>
    </row>
    <row r="1408" spans="1:11" ht="18" customHeight="1" x14ac:dyDescent="0.2">
      <c r="A1408" s="272"/>
      <c r="B1408" s="272" t="s">
        <v>54</v>
      </c>
      <c r="C1408" s="273" t="s">
        <v>1239</v>
      </c>
      <c r="D1408" s="272" t="s">
        <v>1240</v>
      </c>
      <c r="E1408" s="272" t="s">
        <v>1241</v>
      </c>
      <c r="F1408" s="272" t="s">
        <v>1242</v>
      </c>
      <c r="G1408" s="274" t="s">
        <v>60</v>
      </c>
      <c r="H1408" s="273" t="s">
        <v>58</v>
      </c>
      <c r="I1408" s="273" t="s">
        <v>1243</v>
      </c>
      <c r="J1408" s="775" t="s">
        <v>196</v>
      </c>
      <c r="K1408" s="776"/>
    </row>
    <row r="1409" spans="1:11" ht="21.95" customHeight="1" x14ac:dyDescent="0.2">
      <c r="A1409" s="275" t="s">
        <v>1244</v>
      </c>
      <c r="B1409" s="275" t="s">
        <v>4406</v>
      </c>
      <c r="C1409" s="276" t="s">
        <v>4407</v>
      </c>
      <c r="D1409" s="275" t="s">
        <v>1246</v>
      </c>
      <c r="E1409" s="275" t="s">
        <v>3496</v>
      </c>
      <c r="F1409" s="275" t="s">
        <v>1750</v>
      </c>
      <c r="G1409" s="277" t="s">
        <v>52</v>
      </c>
      <c r="H1409" s="276">
        <v>1</v>
      </c>
      <c r="I1409" s="276" t="s">
        <v>4408</v>
      </c>
      <c r="J1409" s="777" t="s">
        <v>4408</v>
      </c>
      <c r="K1409" s="778"/>
    </row>
    <row r="1410" spans="1:11" ht="21.95" customHeight="1" x14ac:dyDescent="0.2">
      <c r="A1410" s="278" t="s">
        <v>1248</v>
      </c>
      <c r="B1410" s="278"/>
      <c r="C1410" s="279" t="s">
        <v>1292</v>
      </c>
      <c r="D1410" s="278" t="s">
        <v>1250</v>
      </c>
      <c r="E1410" s="278" t="s">
        <v>1293</v>
      </c>
      <c r="F1410" s="278" t="s">
        <v>1252</v>
      </c>
      <c r="G1410" s="280" t="s">
        <v>1253</v>
      </c>
      <c r="H1410" s="279" t="s">
        <v>1689</v>
      </c>
      <c r="I1410" s="279" t="s">
        <v>1295</v>
      </c>
      <c r="J1410" s="781">
        <v>8.74</v>
      </c>
      <c r="K1410" s="782"/>
    </row>
    <row r="1411" spans="1:11" ht="21.95" customHeight="1" x14ac:dyDescent="0.2">
      <c r="A1411" s="278" t="s">
        <v>1248</v>
      </c>
      <c r="B1411" s="278"/>
      <c r="C1411" s="279" t="s">
        <v>1273</v>
      </c>
      <c r="D1411" s="278" t="s">
        <v>1250</v>
      </c>
      <c r="E1411" s="278" t="s">
        <v>1274</v>
      </c>
      <c r="F1411" s="278" t="s">
        <v>1252</v>
      </c>
      <c r="G1411" s="280" t="s">
        <v>1253</v>
      </c>
      <c r="H1411" s="279" t="s">
        <v>1689</v>
      </c>
      <c r="I1411" s="279" t="s">
        <v>1275</v>
      </c>
      <c r="J1411" s="781">
        <v>6.94</v>
      </c>
      <c r="K1411" s="782"/>
    </row>
    <row r="1412" spans="1:11" ht="21.95" customHeight="1" thickBot="1" x14ac:dyDescent="0.25">
      <c r="A1412" s="282" t="s">
        <v>1276</v>
      </c>
      <c r="B1412" s="282"/>
      <c r="C1412" s="283" t="s">
        <v>4409</v>
      </c>
      <c r="D1412" s="282" t="s">
        <v>1250</v>
      </c>
      <c r="E1412" s="282" t="s">
        <v>4410</v>
      </c>
      <c r="F1412" s="282" t="s">
        <v>1278</v>
      </c>
      <c r="G1412" s="284" t="s">
        <v>52</v>
      </c>
      <c r="H1412" s="283" t="s">
        <v>1262</v>
      </c>
      <c r="I1412" s="283" t="s">
        <v>4411</v>
      </c>
      <c r="J1412" s="770">
        <v>13</v>
      </c>
      <c r="K1412" s="771"/>
    </row>
    <row r="1413" spans="1:11" ht="0.95" customHeight="1" thickTop="1" x14ac:dyDescent="0.2">
      <c r="A1413" s="281"/>
      <c r="B1413" s="281"/>
      <c r="C1413" s="281"/>
      <c r="D1413" s="281"/>
      <c r="E1413" s="281"/>
      <c r="F1413" s="281"/>
      <c r="G1413" s="281"/>
      <c r="H1413" s="281"/>
      <c r="I1413" s="281"/>
      <c r="J1413" s="421"/>
      <c r="K1413" s="421"/>
    </row>
    <row r="1414" spans="1:11" ht="18" customHeight="1" x14ac:dyDescent="0.2">
      <c r="A1414" s="272"/>
      <c r="B1414" s="272" t="s">
        <v>54</v>
      </c>
      <c r="C1414" s="273" t="s">
        <v>1239</v>
      </c>
      <c r="D1414" s="272" t="s">
        <v>1240</v>
      </c>
      <c r="E1414" s="272" t="s">
        <v>1241</v>
      </c>
      <c r="F1414" s="272" t="s">
        <v>1242</v>
      </c>
      <c r="G1414" s="274" t="s">
        <v>60</v>
      </c>
      <c r="H1414" s="273" t="s">
        <v>58</v>
      </c>
      <c r="I1414" s="273" t="s">
        <v>1243</v>
      </c>
      <c r="J1414" s="775" t="s">
        <v>196</v>
      </c>
      <c r="K1414" s="776"/>
    </row>
    <row r="1415" spans="1:11" ht="21.95" customHeight="1" x14ac:dyDescent="0.2">
      <c r="A1415" s="275" t="s">
        <v>1244</v>
      </c>
      <c r="B1415" s="275" t="s">
        <v>4412</v>
      </c>
      <c r="C1415" s="276" t="s">
        <v>4413</v>
      </c>
      <c r="D1415" s="275" t="s">
        <v>1246</v>
      </c>
      <c r="E1415" s="275" t="s">
        <v>3597</v>
      </c>
      <c r="F1415" s="275" t="s">
        <v>1936</v>
      </c>
      <c r="G1415" s="277" t="s">
        <v>75</v>
      </c>
      <c r="H1415" s="276">
        <v>1</v>
      </c>
      <c r="I1415" s="276" t="s">
        <v>4414</v>
      </c>
      <c r="J1415" s="777" t="s">
        <v>4414</v>
      </c>
      <c r="K1415" s="778"/>
    </row>
    <row r="1416" spans="1:11" ht="21.95" customHeight="1" x14ac:dyDescent="0.2">
      <c r="A1416" s="278" t="s">
        <v>1248</v>
      </c>
      <c r="B1416" s="278"/>
      <c r="C1416" s="279" t="s">
        <v>1864</v>
      </c>
      <c r="D1416" s="278" t="s">
        <v>1250</v>
      </c>
      <c r="E1416" s="278" t="s">
        <v>1865</v>
      </c>
      <c r="F1416" s="278" t="s">
        <v>1252</v>
      </c>
      <c r="G1416" s="280" t="s">
        <v>1253</v>
      </c>
      <c r="H1416" s="279" t="s">
        <v>1731</v>
      </c>
      <c r="I1416" s="279" t="s">
        <v>1866</v>
      </c>
      <c r="J1416" s="781">
        <v>2.83</v>
      </c>
      <c r="K1416" s="782"/>
    </row>
    <row r="1417" spans="1:11" ht="21.95" customHeight="1" x14ac:dyDescent="0.2">
      <c r="A1417" s="278" t="s">
        <v>1248</v>
      </c>
      <c r="B1417" s="278"/>
      <c r="C1417" s="279" t="s">
        <v>1273</v>
      </c>
      <c r="D1417" s="278" t="s">
        <v>1250</v>
      </c>
      <c r="E1417" s="278" t="s">
        <v>1274</v>
      </c>
      <c r="F1417" s="278" t="s">
        <v>1252</v>
      </c>
      <c r="G1417" s="280" t="s">
        <v>1253</v>
      </c>
      <c r="H1417" s="279" t="s">
        <v>1731</v>
      </c>
      <c r="I1417" s="279" t="s">
        <v>1275</v>
      </c>
      <c r="J1417" s="781">
        <v>2.2200000000000002</v>
      </c>
      <c r="K1417" s="782"/>
    </row>
    <row r="1418" spans="1:11" ht="21.95" customHeight="1" thickBot="1" x14ac:dyDescent="0.25">
      <c r="A1418" s="282" t="s">
        <v>1276</v>
      </c>
      <c r="B1418" s="282"/>
      <c r="C1418" s="283" t="s">
        <v>4415</v>
      </c>
      <c r="D1418" s="282" t="s">
        <v>1246</v>
      </c>
      <c r="E1418" s="282" t="s">
        <v>3597</v>
      </c>
      <c r="F1418" s="282" t="s">
        <v>1278</v>
      </c>
      <c r="G1418" s="284" t="s">
        <v>75</v>
      </c>
      <c r="H1418" s="283" t="s">
        <v>1832</v>
      </c>
      <c r="I1418" s="283" t="s">
        <v>4416</v>
      </c>
      <c r="J1418" s="770">
        <v>6.98</v>
      </c>
      <c r="K1418" s="771"/>
    </row>
    <row r="1419" spans="1:11" ht="0.95" customHeight="1" thickTop="1" x14ac:dyDescent="0.2">
      <c r="A1419" s="281"/>
      <c r="B1419" s="281"/>
      <c r="C1419" s="281"/>
      <c r="D1419" s="281"/>
      <c r="E1419" s="281"/>
      <c r="F1419" s="281"/>
      <c r="G1419" s="281"/>
      <c r="H1419" s="281"/>
      <c r="I1419" s="281"/>
      <c r="J1419" s="421"/>
      <c r="K1419" s="421"/>
    </row>
    <row r="1420" spans="1:11" ht="18" customHeight="1" x14ac:dyDescent="0.2">
      <c r="A1420" s="272"/>
      <c r="B1420" s="272" t="s">
        <v>54</v>
      </c>
      <c r="C1420" s="273" t="s">
        <v>1239</v>
      </c>
      <c r="D1420" s="272" t="s">
        <v>1240</v>
      </c>
      <c r="E1420" s="272" t="s">
        <v>1241</v>
      </c>
      <c r="F1420" s="272" t="s">
        <v>1242</v>
      </c>
      <c r="G1420" s="274" t="s">
        <v>60</v>
      </c>
      <c r="H1420" s="273" t="s">
        <v>58</v>
      </c>
      <c r="I1420" s="273" t="s">
        <v>1243</v>
      </c>
      <c r="J1420" s="775" t="s">
        <v>196</v>
      </c>
      <c r="K1420" s="776"/>
    </row>
    <row r="1421" spans="1:11" ht="21.95" customHeight="1" x14ac:dyDescent="0.2">
      <c r="A1421" s="275" t="s">
        <v>1244</v>
      </c>
      <c r="B1421" s="275" t="s">
        <v>4417</v>
      </c>
      <c r="C1421" s="276" t="s">
        <v>4418</v>
      </c>
      <c r="D1421" s="275" t="s">
        <v>1246</v>
      </c>
      <c r="E1421" s="275" t="s">
        <v>3599</v>
      </c>
      <c r="F1421" s="275" t="s">
        <v>1936</v>
      </c>
      <c r="G1421" s="277" t="s">
        <v>75</v>
      </c>
      <c r="H1421" s="276">
        <v>1</v>
      </c>
      <c r="I1421" s="276" t="s">
        <v>4419</v>
      </c>
      <c r="J1421" s="777" t="s">
        <v>4419</v>
      </c>
      <c r="K1421" s="778"/>
    </row>
    <row r="1422" spans="1:11" ht="21.95" customHeight="1" x14ac:dyDescent="0.2">
      <c r="A1422" s="278" t="s">
        <v>1248</v>
      </c>
      <c r="B1422" s="278"/>
      <c r="C1422" s="279" t="s">
        <v>1864</v>
      </c>
      <c r="D1422" s="278" t="s">
        <v>1250</v>
      </c>
      <c r="E1422" s="278" t="s">
        <v>1865</v>
      </c>
      <c r="F1422" s="278" t="s">
        <v>1252</v>
      </c>
      <c r="G1422" s="280" t="s">
        <v>1253</v>
      </c>
      <c r="H1422" s="279" t="s">
        <v>1624</v>
      </c>
      <c r="I1422" s="279" t="s">
        <v>1866</v>
      </c>
      <c r="J1422" s="781">
        <v>3</v>
      </c>
      <c r="K1422" s="782"/>
    </row>
    <row r="1423" spans="1:11" ht="21.95" customHeight="1" x14ac:dyDescent="0.2">
      <c r="A1423" s="278" t="s">
        <v>1248</v>
      </c>
      <c r="B1423" s="278"/>
      <c r="C1423" s="279" t="s">
        <v>1273</v>
      </c>
      <c r="D1423" s="278" t="s">
        <v>1250</v>
      </c>
      <c r="E1423" s="278" t="s">
        <v>1274</v>
      </c>
      <c r="F1423" s="278" t="s">
        <v>1252</v>
      </c>
      <c r="G1423" s="280" t="s">
        <v>1253</v>
      </c>
      <c r="H1423" s="279" t="s">
        <v>1624</v>
      </c>
      <c r="I1423" s="279" t="s">
        <v>1275</v>
      </c>
      <c r="J1423" s="781">
        <v>2.36</v>
      </c>
      <c r="K1423" s="782"/>
    </row>
    <row r="1424" spans="1:11" ht="21.95" customHeight="1" thickBot="1" x14ac:dyDescent="0.25">
      <c r="A1424" s="282" t="s">
        <v>1276</v>
      </c>
      <c r="B1424" s="282"/>
      <c r="C1424" s="283" t="s">
        <v>4420</v>
      </c>
      <c r="D1424" s="282" t="s">
        <v>1246</v>
      </c>
      <c r="E1424" s="282" t="s">
        <v>3599</v>
      </c>
      <c r="F1424" s="282" t="s">
        <v>1278</v>
      </c>
      <c r="G1424" s="284" t="s">
        <v>75</v>
      </c>
      <c r="H1424" s="283" t="s">
        <v>1832</v>
      </c>
      <c r="I1424" s="283" t="s">
        <v>4421</v>
      </c>
      <c r="J1424" s="770">
        <v>10.55</v>
      </c>
      <c r="K1424" s="771"/>
    </row>
    <row r="1425" spans="1:11" ht="0.95" customHeight="1" thickTop="1" x14ac:dyDescent="0.2">
      <c r="A1425" s="281"/>
      <c r="B1425" s="281"/>
      <c r="C1425" s="281"/>
      <c r="D1425" s="281"/>
      <c r="E1425" s="281"/>
      <c r="F1425" s="281"/>
      <c r="G1425" s="281"/>
      <c r="H1425" s="281"/>
      <c r="I1425" s="281"/>
      <c r="J1425" s="421"/>
      <c r="K1425" s="421"/>
    </row>
    <row r="1426" spans="1:11" ht="18" customHeight="1" x14ac:dyDescent="0.2">
      <c r="A1426" s="272"/>
      <c r="B1426" s="272" t="s">
        <v>54</v>
      </c>
      <c r="C1426" s="273" t="s">
        <v>1239</v>
      </c>
      <c r="D1426" s="272" t="s">
        <v>1240</v>
      </c>
      <c r="E1426" s="272" t="s">
        <v>1241</v>
      </c>
      <c r="F1426" s="272" t="s">
        <v>1242</v>
      </c>
      <c r="G1426" s="274" t="s">
        <v>60</v>
      </c>
      <c r="H1426" s="273" t="s">
        <v>58</v>
      </c>
      <c r="I1426" s="273" t="s">
        <v>1243</v>
      </c>
      <c r="J1426" s="775" t="s">
        <v>196</v>
      </c>
      <c r="K1426" s="776"/>
    </row>
    <row r="1427" spans="1:11" ht="21.95" customHeight="1" x14ac:dyDescent="0.2">
      <c r="A1427" s="275" t="s">
        <v>1244</v>
      </c>
      <c r="B1427" s="275" t="s">
        <v>4422</v>
      </c>
      <c r="C1427" s="276" t="s">
        <v>4423</v>
      </c>
      <c r="D1427" s="275" t="s">
        <v>1246</v>
      </c>
      <c r="E1427" s="275" t="s">
        <v>3601</v>
      </c>
      <c r="F1427" s="275" t="s">
        <v>1936</v>
      </c>
      <c r="G1427" s="277" t="s">
        <v>75</v>
      </c>
      <c r="H1427" s="276">
        <v>1</v>
      </c>
      <c r="I1427" s="276" t="s">
        <v>4424</v>
      </c>
      <c r="J1427" s="777" t="s">
        <v>4424</v>
      </c>
      <c r="K1427" s="778"/>
    </row>
    <row r="1428" spans="1:11" ht="21.95" customHeight="1" x14ac:dyDescent="0.2">
      <c r="A1428" s="278" t="s">
        <v>1248</v>
      </c>
      <c r="B1428" s="278"/>
      <c r="C1428" s="279" t="s">
        <v>1864</v>
      </c>
      <c r="D1428" s="278" t="s">
        <v>1250</v>
      </c>
      <c r="E1428" s="278" t="s">
        <v>1865</v>
      </c>
      <c r="F1428" s="278" t="s">
        <v>1252</v>
      </c>
      <c r="G1428" s="280" t="s">
        <v>1253</v>
      </c>
      <c r="H1428" s="279" t="s">
        <v>4425</v>
      </c>
      <c r="I1428" s="279" t="s">
        <v>1866</v>
      </c>
      <c r="J1428" s="781">
        <v>3.71</v>
      </c>
      <c r="K1428" s="782"/>
    </row>
    <row r="1429" spans="1:11" ht="21.95" customHeight="1" x14ac:dyDescent="0.2">
      <c r="A1429" s="278" t="s">
        <v>1248</v>
      </c>
      <c r="B1429" s="278"/>
      <c r="C1429" s="279" t="s">
        <v>1273</v>
      </c>
      <c r="D1429" s="278" t="s">
        <v>1250</v>
      </c>
      <c r="E1429" s="278" t="s">
        <v>1274</v>
      </c>
      <c r="F1429" s="278" t="s">
        <v>1252</v>
      </c>
      <c r="G1429" s="280" t="s">
        <v>1253</v>
      </c>
      <c r="H1429" s="279" t="s">
        <v>4425</v>
      </c>
      <c r="I1429" s="279" t="s">
        <v>1275</v>
      </c>
      <c r="J1429" s="781">
        <v>2.91</v>
      </c>
      <c r="K1429" s="782"/>
    </row>
    <row r="1430" spans="1:11" ht="21.95" customHeight="1" thickBot="1" x14ac:dyDescent="0.25">
      <c r="A1430" s="282" t="s">
        <v>1276</v>
      </c>
      <c r="B1430" s="282"/>
      <c r="C1430" s="283" t="s">
        <v>4426</v>
      </c>
      <c r="D1430" s="282" t="s">
        <v>1246</v>
      </c>
      <c r="E1430" s="282" t="s">
        <v>3601</v>
      </c>
      <c r="F1430" s="282" t="s">
        <v>1278</v>
      </c>
      <c r="G1430" s="284" t="s">
        <v>75</v>
      </c>
      <c r="H1430" s="283" t="s">
        <v>1832</v>
      </c>
      <c r="I1430" s="283" t="s">
        <v>4427</v>
      </c>
      <c r="J1430" s="770">
        <v>14.64</v>
      </c>
      <c r="K1430" s="771"/>
    </row>
    <row r="1431" spans="1:11" ht="0.95" customHeight="1" thickTop="1" x14ac:dyDescent="0.2">
      <c r="A1431" s="281"/>
      <c r="B1431" s="281"/>
      <c r="C1431" s="281"/>
      <c r="D1431" s="281"/>
      <c r="E1431" s="281"/>
      <c r="F1431" s="281"/>
      <c r="G1431" s="281"/>
      <c r="H1431" s="281"/>
      <c r="I1431" s="281"/>
      <c r="J1431" s="421"/>
      <c r="K1431" s="421"/>
    </row>
    <row r="1432" spans="1:11" ht="18" customHeight="1" x14ac:dyDescent="0.2">
      <c r="A1432" s="272"/>
      <c r="B1432" s="272" t="s">
        <v>54</v>
      </c>
      <c r="C1432" s="273" t="s">
        <v>1239</v>
      </c>
      <c r="D1432" s="272" t="s">
        <v>1240</v>
      </c>
      <c r="E1432" s="272" t="s">
        <v>1241</v>
      </c>
      <c r="F1432" s="272" t="s">
        <v>1242</v>
      </c>
      <c r="G1432" s="274" t="s">
        <v>60</v>
      </c>
      <c r="H1432" s="273" t="s">
        <v>58</v>
      </c>
      <c r="I1432" s="273" t="s">
        <v>1243</v>
      </c>
      <c r="J1432" s="775" t="s">
        <v>196</v>
      </c>
      <c r="K1432" s="776"/>
    </row>
    <row r="1433" spans="1:11" ht="21.95" customHeight="1" x14ac:dyDescent="0.2">
      <c r="A1433" s="275" t="s">
        <v>1244</v>
      </c>
      <c r="B1433" s="275" t="s">
        <v>4428</v>
      </c>
      <c r="C1433" s="276" t="s">
        <v>1939</v>
      </c>
      <c r="D1433" s="275" t="s">
        <v>1246</v>
      </c>
      <c r="E1433" s="275" t="s">
        <v>607</v>
      </c>
      <c r="F1433" s="275" t="s">
        <v>1936</v>
      </c>
      <c r="G1433" s="277" t="s">
        <v>75</v>
      </c>
      <c r="H1433" s="276">
        <v>1</v>
      </c>
      <c r="I1433" s="276" t="s">
        <v>1940</v>
      </c>
      <c r="J1433" s="777" t="s">
        <v>1940</v>
      </c>
      <c r="K1433" s="778"/>
    </row>
    <row r="1434" spans="1:11" ht="21.95" customHeight="1" x14ac:dyDescent="0.2">
      <c r="A1434" s="278" t="s">
        <v>1248</v>
      </c>
      <c r="B1434" s="278"/>
      <c r="C1434" s="279" t="s">
        <v>1864</v>
      </c>
      <c r="D1434" s="278" t="s">
        <v>1250</v>
      </c>
      <c r="E1434" s="278" t="s">
        <v>1865</v>
      </c>
      <c r="F1434" s="278" t="s">
        <v>1252</v>
      </c>
      <c r="G1434" s="280" t="s">
        <v>1253</v>
      </c>
      <c r="H1434" s="279" t="s">
        <v>1327</v>
      </c>
      <c r="I1434" s="279" t="s">
        <v>1866</v>
      </c>
      <c r="J1434" s="781">
        <v>5.48</v>
      </c>
      <c r="K1434" s="782"/>
    </row>
    <row r="1435" spans="1:11" ht="21.95" customHeight="1" x14ac:dyDescent="0.2">
      <c r="A1435" s="278" t="s">
        <v>1248</v>
      </c>
      <c r="B1435" s="278"/>
      <c r="C1435" s="279" t="s">
        <v>1273</v>
      </c>
      <c r="D1435" s="278" t="s">
        <v>1250</v>
      </c>
      <c r="E1435" s="278" t="s">
        <v>1274</v>
      </c>
      <c r="F1435" s="278" t="s">
        <v>1252</v>
      </c>
      <c r="G1435" s="280" t="s">
        <v>1253</v>
      </c>
      <c r="H1435" s="279" t="s">
        <v>1327</v>
      </c>
      <c r="I1435" s="279" t="s">
        <v>1275</v>
      </c>
      <c r="J1435" s="781">
        <v>4.3</v>
      </c>
      <c r="K1435" s="782"/>
    </row>
    <row r="1436" spans="1:11" ht="21.95" customHeight="1" thickBot="1" x14ac:dyDescent="0.25">
      <c r="A1436" s="282" t="s">
        <v>1276</v>
      </c>
      <c r="B1436" s="282"/>
      <c r="C1436" s="283" t="s">
        <v>1941</v>
      </c>
      <c r="D1436" s="282" t="s">
        <v>1246</v>
      </c>
      <c r="E1436" s="282" t="s">
        <v>607</v>
      </c>
      <c r="F1436" s="282" t="s">
        <v>1278</v>
      </c>
      <c r="G1436" s="284" t="s">
        <v>75</v>
      </c>
      <c r="H1436" s="283" t="s">
        <v>1832</v>
      </c>
      <c r="I1436" s="283" t="s">
        <v>1942</v>
      </c>
      <c r="J1436" s="770">
        <v>21.23</v>
      </c>
      <c r="K1436" s="771"/>
    </row>
    <row r="1437" spans="1:11" ht="0.95" customHeight="1" thickTop="1" x14ac:dyDescent="0.2">
      <c r="A1437" s="281"/>
      <c r="B1437" s="281"/>
      <c r="C1437" s="281"/>
      <c r="D1437" s="281"/>
      <c r="E1437" s="281"/>
      <c r="F1437" s="281"/>
      <c r="G1437" s="281"/>
      <c r="H1437" s="281"/>
      <c r="I1437" s="281"/>
      <c r="J1437" s="421"/>
      <c r="K1437" s="421"/>
    </row>
    <row r="1438" spans="1:11" ht="18" customHeight="1" x14ac:dyDescent="0.2">
      <c r="A1438" s="272"/>
      <c r="B1438" s="272" t="s">
        <v>54</v>
      </c>
      <c r="C1438" s="273" t="s">
        <v>1239</v>
      </c>
      <c r="D1438" s="272" t="s">
        <v>1240</v>
      </c>
      <c r="E1438" s="272" t="s">
        <v>1241</v>
      </c>
      <c r="F1438" s="272" t="s">
        <v>1242</v>
      </c>
      <c r="G1438" s="274" t="s">
        <v>60</v>
      </c>
      <c r="H1438" s="273" t="s">
        <v>58</v>
      </c>
      <c r="I1438" s="273" t="s">
        <v>1243</v>
      </c>
      <c r="J1438" s="775" t="s">
        <v>196</v>
      </c>
      <c r="K1438" s="776"/>
    </row>
    <row r="1439" spans="1:11" ht="21.95" customHeight="1" x14ac:dyDescent="0.2">
      <c r="A1439" s="275" t="s">
        <v>1244</v>
      </c>
      <c r="B1439" s="275" t="s">
        <v>4429</v>
      </c>
      <c r="C1439" s="276" t="s">
        <v>4430</v>
      </c>
      <c r="D1439" s="275" t="s">
        <v>1246</v>
      </c>
      <c r="E1439" s="275" t="s">
        <v>3603</v>
      </c>
      <c r="F1439" s="275" t="s">
        <v>1936</v>
      </c>
      <c r="G1439" s="277" t="s">
        <v>75</v>
      </c>
      <c r="H1439" s="276">
        <v>1</v>
      </c>
      <c r="I1439" s="276" t="s">
        <v>4431</v>
      </c>
      <c r="J1439" s="777" t="s">
        <v>4431</v>
      </c>
      <c r="K1439" s="778"/>
    </row>
    <row r="1440" spans="1:11" ht="21.95" customHeight="1" x14ac:dyDescent="0.2">
      <c r="A1440" s="278" t="s">
        <v>1248</v>
      </c>
      <c r="B1440" s="278"/>
      <c r="C1440" s="279" t="s">
        <v>1864</v>
      </c>
      <c r="D1440" s="278" t="s">
        <v>1250</v>
      </c>
      <c r="E1440" s="278" t="s">
        <v>1865</v>
      </c>
      <c r="F1440" s="278" t="s">
        <v>1252</v>
      </c>
      <c r="G1440" s="280" t="s">
        <v>1253</v>
      </c>
      <c r="H1440" s="279" t="s">
        <v>1987</v>
      </c>
      <c r="I1440" s="279" t="s">
        <v>1866</v>
      </c>
      <c r="J1440" s="781">
        <v>6.01</v>
      </c>
      <c r="K1440" s="782"/>
    </row>
    <row r="1441" spans="1:11" ht="21.95" customHeight="1" x14ac:dyDescent="0.2">
      <c r="A1441" s="278" t="s">
        <v>1248</v>
      </c>
      <c r="B1441" s="278"/>
      <c r="C1441" s="279" t="s">
        <v>1273</v>
      </c>
      <c r="D1441" s="278" t="s">
        <v>1250</v>
      </c>
      <c r="E1441" s="278" t="s">
        <v>1274</v>
      </c>
      <c r="F1441" s="278" t="s">
        <v>1252</v>
      </c>
      <c r="G1441" s="280" t="s">
        <v>1253</v>
      </c>
      <c r="H1441" s="279" t="s">
        <v>1987</v>
      </c>
      <c r="I1441" s="279" t="s">
        <v>1275</v>
      </c>
      <c r="J1441" s="781">
        <v>4.72</v>
      </c>
      <c r="K1441" s="782"/>
    </row>
    <row r="1442" spans="1:11" ht="21.95" customHeight="1" thickBot="1" x14ac:dyDescent="0.25">
      <c r="A1442" s="282" t="s">
        <v>1276</v>
      </c>
      <c r="B1442" s="282"/>
      <c r="C1442" s="283" t="s">
        <v>4432</v>
      </c>
      <c r="D1442" s="282" t="s">
        <v>1246</v>
      </c>
      <c r="E1442" s="282" t="s">
        <v>3603</v>
      </c>
      <c r="F1442" s="282" t="s">
        <v>1278</v>
      </c>
      <c r="G1442" s="284" t="s">
        <v>75</v>
      </c>
      <c r="H1442" s="283" t="s">
        <v>1832</v>
      </c>
      <c r="I1442" s="283" t="s">
        <v>4433</v>
      </c>
      <c r="J1442" s="770">
        <v>28.27</v>
      </c>
      <c r="K1442" s="771"/>
    </row>
    <row r="1443" spans="1:11" ht="0.95" customHeight="1" thickTop="1" x14ac:dyDescent="0.2">
      <c r="A1443" s="281"/>
      <c r="B1443" s="281"/>
      <c r="C1443" s="281"/>
      <c r="D1443" s="281"/>
      <c r="E1443" s="281"/>
      <c r="F1443" s="281"/>
      <c r="G1443" s="281"/>
      <c r="H1443" s="281"/>
      <c r="I1443" s="281"/>
      <c r="J1443" s="421"/>
      <c r="K1443" s="421"/>
    </row>
    <row r="1444" spans="1:11" ht="18" customHeight="1" x14ac:dyDescent="0.2">
      <c r="A1444" s="272"/>
      <c r="B1444" s="272" t="s">
        <v>54</v>
      </c>
      <c r="C1444" s="273" t="s">
        <v>1239</v>
      </c>
      <c r="D1444" s="272" t="s">
        <v>1240</v>
      </c>
      <c r="E1444" s="272" t="s">
        <v>1241</v>
      </c>
      <c r="F1444" s="272" t="s">
        <v>1242</v>
      </c>
      <c r="G1444" s="274" t="s">
        <v>60</v>
      </c>
      <c r="H1444" s="273" t="s">
        <v>58</v>
      </c>
      <c r="I1444" s="273" t="s">
        <v>1243</v>
      </c>
      <c r="J1444" s="775" t="s">
        <v>196</v>
      </c>
      <c r="K1444" s="776"/>
    </row>
    <row r="1445" spans="1:11" ht="21.95" customHeight="1" x14ac:dyDescent="0.2">
      <c r="A1445" s="275" t="s">
        <v>1244</v>
      </c>
      <c r="B1445" s="275" t="s">
        <v>4434</v>
      </c>
      <c r="C1445" s="276" t="s">
        <v>4435</v>
      </c>
      <c r="D1445" s="275" t="s">
        <v>1246</v>
      </c>
      <c r="E1445" s="275" t="s">
        <v>3605</v>
      </c>
      <c r="F1445" s="275" t="s">
        <v>1936</v>
      </c>
      <c r="G1445" s="277" t="s">
        <v>75</v>
      </c>
      <c r="H1445" s="276">
        <v>1</v>
      </c>
      <c r="I1445" s="276" t="s">
        <v>4436</v>
      </c>
      <c r="J1445" s="777" t="s">
        <v>4436</v>
      </c>
      <c r="K1445" s="778"/>
    </row>
    <row r="1446" spans="1:11" ht="21.95" customHeight="1" x14ac:dyDescent="0.2">
      <c r="A1446" s="278" t="s">
        <v>1248</v>
      </c>
      <c r="B1446" s="278"/>
      <c r="C1446" s="279" t="s">
        <v>1864</v>
      </c>
      <c r="D1446" s="278" t="s">
        <v>1250</v>
      </c>
      <c r="E1446" s="278" t="s">
        <v>1865</v>
      </c>
      <c r="F1446" s="278" t="s">
        <v>1252</v>
      </c>
      <c r="G1446" s="280" t="s">
        <v>1253</v>
      </c>
      <c r="H1446" s="279" t="s">
        <v>2241</v>
      </c>
      <c r="I1446" s="279" t="s">
        <v>1866</v>
      </c>
      <c r="J1446" s="781">
        <v>8.1300000000000008</v>
      </c>
      <c r="K1446" s="782"/>
    </row>
    <row r="1447" spans="1:11" ht="21.95" customHeight="1" x14ac:dyDescent="0.2">
      <c r="A1447" s="278" t="s">
        <v>1248</v>
      </c>
      <c r="B1447" s="278"/>
      <c r="C1447" s="279" t="s">
        <v>1273</v>
      </c>
      <c r="D1447" s="278" t="s">
        <v>1250</v>
      </c>
      <c r="E1447" s="278" t="s">
        <v>1274</v>
      </c>
      <c r="F1447" s="278" t="s">
        <v>1252</v>
      </c>
      <c r="G1447" s="280" t="s">
        <v>1253</v>
      </c>
      <c r="H1447" s="279" t="s">
        <v>2241</v>
      </c>
      <c r="I1447" s="279" t="s">
        <v>1275</v>
      </c>
      <c r="J1447" s="781">
        <v>6.38</v>
      </c>
      <c r="K1447" s="782"/>
    </row>
    <row r="1448" spans="1:11" ht="21.95" customHeight="1" thickBot="1" x14ac:dyDescent="0.25">
      <c r="A1448" s="282" t="s">
        <v>1276</v>
      </c>
      <c r="B1448" s="282"/>
      <c r="C1448" s="283" t="s">
        <v>4437</v>
      </c>
      <c r="D1448" s="282" t="s">
        <v>1246</v>
      </c>
      <c r="E1448" s="282" t="s">
        <v>3605</v>
      </c>
      <c r="F1448" s="282" t="s">
        <v>1278</v>
      </c>
      <c r="G1448" s="284" t="s">
        <v>75</v>
      </c>
      <c r="H1448" s="283" t="s">
        <v>1832</v>
      </c>
      <c r="I1448" s="283" t="s">
        <v>4438</v>
      </c>
      <c r="J1448" s="770">
        <v>51.58</v>
      </c>
      <c r="K1448" s="771"/>
    </row>
    <row r="1449" spans="1:11" ht="0.95" customHeight="1" thickTop="1" x14ac:dyDescent="0.2">
      <c r="A1449" s="281"/>
      <c r="B1449" s="281"/>
      <c r="C1449" s="281"/>
      <c r="D1449" s="281"/>
      <c r="E1449" s="281"/>
      <c r="F1449" s="281"/>
      <c r="G1449" s="281"/>
      <c r="H1449" s="281"/>
      <c r="I1449" s="281"/>
      <c r="J1449" s="421"/>
      <c r="K1449" s="421"/>
    </row>
    <row r="1450" spans="1:11" ht="18" customHeight="1" x14ac:dyDescent="0.2">
      <c r="A1450" s="272"/>
      <c r="B1450" s="272" t="s">
        <v>54</v>
      </c>
      <c r="C1450" s="273" t="s">
        <v>1239</v>
      </c>
      <c r="D1450" s="272" t="s">
        <v>1240</v>
      </c>
      <c r="E1450" s="272" t="s">
        <v>1241</v>
      </c>
      <c r="F1450" s="272" t="s">
        <v>1242</v>
      </c>
      <c r="G1450" s="274" t="s">
        <v>60</v>
      </c>
      <c r="H1450" s="273" t="s">
        <v>58</v>
      </c>
      <c r="I1450" s="273" t="s">
        <v>1243</v>
      </c>
      <c r="J1450" s="775" t="s">
        <v>196</v>
      </c>
      <c r="K1450" s="776"/>
    </row>
    <row r="1451" spans="1:11" ht="33" customHeight="1" x14ac:dyDescent="0.2">
      <c r="A1451" s="275" t="s">
        <v>1244</v>
      </c>
      <c r="B1451" s="275" t="s">
        <v>4439</v>
      </c>
      <c r="C1451" s="276" t="s">
        <v>1943</v>
      </c>
      <c r="D1451" s="275" t="s">
        <v>1246</v>
      </c>
      <c r="E1451" s="275" t="s">
        <v>464</v>
      </c>
      <c r="F1451" s="275" t="s">
        <v>1936</v>
      </c>
      <c r="G1451" s="277" t="s">
        <v>52</v>
      </c>
      <c r="H1451" s="276">
        <v>1</v>
      </c>
      <c r="I1451" s="276" t="s">
        <v>1944</v>
      </c>
      <c r="J1451" s="777" t="s">
        <v>1944</v>
      </c>
      <c r="K1451" s="778"/>
    </row>
    <row r="1452" spans="1:11" ht="21.95" customHeight="1" x14ac:dyDescent="0.2">
      <c r="A1452" s="278" t="s">
        <v>1248</v>
      </c>
      <c r="B1452" s="278"/>
      <c r="C1452" s="279" t="s">
        <v>1864</v>
      </c>
      <c r="D1452" s="278" t="s">
        <v>1250</v>
      </c>
      <c r="E1452" s="278" t="s">
        <v>1865</v>
      </c>
      <c r="F1452" s="278" t="s">
        <v>1252</v>
      </c>
      <c r="G1452" s="280" t="s">
        <v>1253</v>
      </c>
      <c r="H1452" s="279" t="s">
        <v>1722</v>
      </c>
      <c r="I1452" s="279" t="s">
        <v>1866</v>
      </c>
      <c r="J1452" s="781">
        <v>15.03</v>
      </c>
      <c r="K1452" s="782"/>
    </row>
    <row r="1453" spans="1:11" ht="21.95" customHeight="1" x14ac:dyDescent="0.2">
      <c r="A1453" s="278" t="s">
        <v>1248</v>
      </c>
      <c r="B1453" s="278"/>
      <c r="C1453" s="279" t="s">
        <v>1273</v>
      </c>
      <c r="D1453" s="278" t="s">
        <v>1250</v>
      </c>
      <c r="E1453" s="278" t="s">
        <v>1274</v>
      </c>
      <c r="F1453" s="278" t="s">
        <v>1252</v>
      </c>
      <c r="G1453" s="280" t="s">
        <v>1253</v>
      </c>
      <c r="H1453" s="279" t="s">
        <v>1722</v>
      </c>
      <c r="I1453" s="279" t="s">
        <v>1275</v>
      </c>
      <c r="J1453" s="781">
        <v>11.8</v>
      </c>
      <c r="K1453" s="782"/>
    </row>
    <row r="1454" spans="1:11" ht="33" customHeight="1" x14ac:dyDescent="0.2">
      <c r="A1454" s="282" t="s">
        <v>1276</v>
      </c>
      <c r="B1454" s="282"/>
      <c r="C1454" s="283" t="s">
        <v>1945</v>
      </c>
      <c r="D1454" s="282" t="s">
        <v>1250</v>
      </c>
      <c r="E1454" s="282" t="s">
        <v>1946</v>
      </c>
      <c r="F1454" s="282" t="s">
        <v>1278</v>
      </c>
      <c r="G1454" s="284" t="s">
        <v>52</v>
      </c>
      <c r="H1454" s="283" t="s">
        <v>1262</v>
      </c>
      <c r="I1454" s="283" t="s">
        <v>1947</v>
      </c>
      <c r="J1454" s="779">
        <v>12.15</v>
      </c>
      <c r="K1454" s="780"/>
    </row>
    <row r="1455" spans="1:11" ht="21.95" customHeight="1" thickBot="1" x14ac:dyDescent="0.25">
      <c r="A1455" s="282" t="s">
        <v>1276</v>
      </c>
      <c r="B1455" s="282"/>
      <c r="C1455" s="283" t="s">
        <v>1948</v>
      </c>
      <c r="D1455" s="282" t="s">
        <v>1250</v>
      </c>
      <c r="E1455" s="282" t="s">
        <v>1949</v>
      </c>
      <c r="F1455" s="282" t="s">
        <v>1278</v>
      </c>
      <c r="G1455" s="284" t="s">
        <v>52</v>
      </c>
      <c r="H1455" s="283" t="s">
        <v>1417</v>
      </c>
      <c r="I1455" s="283" t="s">
        <v>1950</v>
      </c>
      <c r="J1455" s="770">
        <v>82.78</v>
      </c>
      <c r="K1455" s="771"/>
    </row>
    <row r="1456" spans="1:11" ht="0.95" customHeight="1" thickTop="1" x14ac:dyDescent="0.2">
      <c r="A1456" s="281"/>
      <c r="B1456" s="281"/>
      <c r="C1456" s="281"/>
      <c r="D1456" s="281"/>
      <c r="E1456" s="281"/>
      <c r="F1456" s="281"/>
      <c r="G1456" s="281"/>
      <c r="H1456" s="281"/>
      <c r="I1456" s="281"/>
      <c r="J1456" s="421"/>
      <c r="K1456" s="421"/>
    </row>
    <row r="1457" spans="1:11" ht="18" customHeight="1" x14ac:dyDescent="0.2">
      <c r="A1457" s="272"/>
      <c r="B1457" s="272" t="s">
        <v>54</v>
      </c>
      <c r="C1457" s="273" t="s">
        <v>1239</v>
      </c>
      <c r="D1457" s="272" t="s">
        <v>1240</v>
      </c>
      <c r="E1457" s="272" t="s">
        <v>1241</v>
      </c>
      <c r="F1457" s="272" t="s">
        <v>1242</v>
      </c>
      <c r="G1457" s="274" t="s">
        <v>60</v>
      </c>
      <c r="H1457" s="273" t="s">
        <v>58</v>
      </c>
      <c r="I1457" s="273" t="s">
        <v>1243</v>
      </c>
      <c r="J1457" s="775" t="s">
        <v>196</v>
      </c>
      <c r="K1457" s="776"/>
    </row>
    <row r="1458" spans="1:11" ht="21.95" customHeight="1" x14ac:dyDescent="0.2">
      <c r="A1458" s="275" t="s">
        <v>1244</v>
      </c>
      <c r="B1458" s="275" t="s">
        <v>4440</v>
      </c>
      <c r="C1458" s="276" t="s">
        <v>1951</v>
      </c>
      <c r="D1458" s="275" t="s">
        <v>1246</v>
      </c>
      <c r="E1458" s="275" t="s">
        <v>386</v>
      </c>
      <c r="F1458" s="275" t="s">
        <v>1252</v>
      </c>
      <c r="G1458" s="277" t="s">
        <v>52</v>
      </c>
      <c r="H1458" s="276">
        <v>1</v>
      </c>
      <c r="I1458" s="276" t="s">
        <v>1952</v>
      </c>
      <c r="J1458" s="777" t="s">
        <v>1952</v>
      </c>
      <c r="K1458" s="778"/>
    </row>
    <row r="1459" spans="1:11" ht="21.95" customHeight="1" x14ac:dyDescent="0.2">
      <c r="A1459" s="278" t="s">
        <v>1248</v>
      </c>
      <c r="B1459" s="278"/>
      <c r="C1459" s="279" t="s">
        <v>1864</v>
      </c>
      <c r="D1459" s="278" t="s">
        <v>1250</v>
      </c>
      <c r="E1459" s="278" t="s">
        <v>1865</v>
      </c>
      <c r="F1459" s="278" t="s">
        <v>1252</v>
      </c>
      <c r="G1459" s="280" t="s">
        <v>1253</v>
      </c>
      <c r="H1459" s="279" t="s">
        <v>1752</v>
      </c>
      <c r="I1459" s="279" t="s">
        <v>1866</v>
      </c>
      <c r="J1459" s="781">
        <v>20.16</v>
      </c>
      <c r="K1459" s="782"/>
    </row>
    <row r="1460" spans="1:11" ht="21.95" customHeight="1" x14ac:dyDescent="0.2">
      <c r="A1460" s="278" t="s">
        <v>1248</v>
      </c>
      <c r="B1460" s="278"/>
      <c r="C1460" s="279" t="s">
        <v>1273</v>
      </c>
      <c r="D1460" s="278" t="s">
        <v>1250</v>
      </c>
      <c r="E1460" s="278" t="s">
        <v>1274</v>
      </c>
      <c r="F1460" s="278" t="s">
        <v>1252</v>
      </c>
      <c r="G1460" s="280" t="s">
        <v>1253</v>
      </c>
      <c r="H1460" s="279" t="s">
        <v>1529</v>
      </c>
      <c r="I1460" s="279" t="s">
        <v>1275</v>
      </c>
      <c r="J1460" s="781">
        <v>9.02</v>
      </c>
      <c r="K1460" s="782"/>
    </row>
    <row r="1461" spans="1:11" ht="21.95" customHeight="1" thickBot="1" x14ac:dyDescent="0.25">
      <c r="A1461" s="282" t="s">
        <v>1276</v>
      </c>
      <c r="B1461" s="282"/>
      <c r="C1461" s="283" t="s">
        <v>1953</v>
      </c>
      <c r="D1461" s="282" t="s">
        <v>1246</v>
      </c>
      <c r="E1461" s="282" t="s">
        <v>1954</v>
      </c>
      <c r="F1461" s="282" t="s">
        <v>1278</v>
      </c>
      <c r="G1461" s="284" t="s">
        <v>52</v>
      </c>
      <c r="H1461" s="283" t="s">
        <v>1262</v>
      </c>
      <c r="I1461" s="283" t="s">
        <v>1955</v>
      </c>
      <c r="J1461" s="770">
        <v>158.36000000000001</v>
      </c>
      <c r="K1461" s="771"/>
    </row>
    <row r="1462" spans="1:11" ht="0.95" customHeight="1" thickTop="1" x14ac:dyDescent="0.2">
      <c r="A1462" s="281"/>
      <c r="B1462" s="281"/>
      <c r="C1462" s="281"/>
      <c r="D1462" s="281"/>
      <c r="E1462" s="281"/>
      <c r="F1462" s="281"/>
      <c r="G1462" s="281"/>
      <c r="H1462" s="281"/>
      <c r="I1462" s="281"/>
      <c r="J1462" s="421"/>
      <c r="K1462" s="421"/>
    </row>
    <row r="1463" spans="1:11" ht="18" customHeight="1" x14ac:dyDescent="0.2">
      <c r="A1463" s="272"/>
      <c r="B1463" s="272" t="s">
        <v>54</v>
      </c>
      <c r="C1463" s="273" t="s">
        <v>1239</v>
      </c>
      <c r="D1463" s="272" t="s">
        <v>1240</v>
      </c>
      <c r="E1463" s="272" t="s">
        <v>1241</v>
      </c>
      <c r="F1463" s="272" t="s">
        <v>1242</v>
      </c>
      <c r="G1463" s="274" t="s">
        <v>60</v>
      </c>
      <c r="H1463" s="273" t="s">
        <v>58</v>
      </c>
      <c r="I1463" s="273" t="s">
        <v>1243</v>
      </c>
      <c r="J1463" s="775" t="s">
        <v>196</v>
      </c>
      <c r="K1463" s="776"/>
    </row>
    <row r="1464" spans="1:11" ht="44.1" customHeight="1" x14ac:dyDescent="0.2">
      <c r="A1464" s="275" t="s">
        <v>1244</v>
      </c>
      <c r="B1464" s="275" t="s">
        <v>4441</v>
      </c>
      <c r="C1464" s="276" t="s">
        <v>4442</v>
      </c>
      <c r="D1464" s="275" t="s">
        <v>1246</v>
      </c>
      <c r="E1464" s="275" t="s">
        <v>3613</v>
      </c>
      <c r="F1464" s="275" t="s">
        <v>1936</v>
      </c>
      <c r="G1464" s="277" t="s">
        <v>52</v>
      </c>
      <c r="H1464" s="276">
        <v>1</v>
      </c>
      <c r="I1464" s="276" t="s">
        <v>4443</v>
      </c>
      <c r="J1464" s="777" t="s">
        <v>4443</v>
      </c>
      <c r="K1464" s="778"/>
    </row>
    <row r="1465" spans="1:11" ht="21.95" customHeight="1" x14ac:dyDescent="0.2">
      <c r="A1465" s="278" t="s">
        <v>1248</v>
      </c>
      <c r="B1465" s="278"/>
      <c r="C1465" s="279" t="s">
        <v>1864</v>
      </c>
      <c r="D1465" s="278" t="s">
        <v>1250</v>
      </c>
      <c r="E1465" s="278" t="s">
        <v>1865</v>
      </c>
      <c r="F1465" s="278" t="s">
        <v>1252</v>
      </c>
      <c r="G1465" s="280" t="s">
        <v>1253</v>
      </c>
      <c r="H1465" s="279" t="s">
        <v>1290</v>
      </c>
      <c r="I1465" s="279" t="s">
        <v>1866</v>
      </c>
      <c r="J1465" s="781">
        <v>70.760000000000005</v>
      </c>
      <c r="K1465" s="782"/>
    </row>
    <row r="1466" spans="1:11" ht="21.95" customHeight="1" x14ac:dyDescent="0.2">
      <c r="A1466" s="278" t="s">
        <v>1248</v>
      </c>
      <c r="B1466" s="278"/>
      <c r="C1466" s="279" t="s">
        <v>1273</v>
      </c>
      <c r="D1466" s="278" t="s">
        <v>1250</v>
      </c>
      <c r="E1466" s="278" t="s">
        <v>1274</v>
      </c>
      <c r="F1466" s="278" t="s">
        <v>1252</v>
      </c>
      <c r="G1466" s="280" t="s">
        <v>1253</v>
      </c>
      <c r="H1466" s="279" t="s">
        <v>1290</v>
      </c>
      <c r="I1466" s="279" t="s">
        <v>1275</v>
      </c>
      <c r="J1466" s="781">
        <v>55.56</v>
      </c>
      <c r="K1466" s="782"/>
    </row>
    <row r="1467" spans="1:11" ht="21.95" customHeight="1" x14ac:dyDescent="0.2">
      <c r="A1467" s="282" t="s">
        <v>1276</v>
      </c>
      <c r="B1467" s="282"/>
      <c r="C1467" s="283" t="s">
        <v>1979</v>
      </c>
      <c r="D1467" s="282" t="s">
        <v>1246</v>
      </c>
      <c r="E1467" s="282" t="s">
        <v>858</v>
      </c>
      <c r="F1467" s="282" t="s">
        <v>1278</v>
      </c>
      <c r="G1467" s="284" t="s">
        <v>52</v>
      </c>
      <c r="H1467" s="283" t="s">
        <v>1262</v>
      </c>
      <c r="I1467" s="283" t="s">
        <v>1980</v>
      </c>
      <c r="J1467" s="779">
        <v>36.33</v>
      </c>
      <c r="K1467" s="780"/>
    </row>
    <row r="1468" spans="1:11" ht="21.95" customHeight="1" x14ac:dyDescent="0.2">
      <c r="A1468" s="282" t="s">
        <v>1276</v>
      </c>
      <c r="B1468" s="282"/>
      <c r="C1468" s="283" t="s">
        <v>1981</v>
      </c>
      <c r="D1468" s="282" t="s">
        <v>1246</v>
      </c>
      <c r="E1468" s="282" t="s">
        <v>1982</v>
      </c>
      <c r="F1468" s="282" t="s">
        <v>1278</v>
      </c>
      <c r="G1468" s="284" t="s">
        <v>52</v>
      </c>
      <c r="H1468" s="283" t="s">
        <v>1262</v>
      </c>
      <c r="I1468" s="283" t="s">
        <v>1983</v>
      </c>
      <c r="J1468" s="779">
        <v>36.4</v>
      </c>
      <c r="K1468" s="780"/>
    </row>
    <row r="1469" spans="1:11" ht="21.95" customHeight="1" x14ac:dyDescent="0.2">
      <c r="A1469" s="282" t="s">
        <v>1276</v>
      </c>
      <c r="B1469" s="282"/>
      <c r="C1469" s="283" t="s">
        <v>4444</v>
      </c>
      <c r="D1469" s="282" t="s">
        <v>1246</v>
      </c>
      <c r="E1469" s="282" t="s">
        <v>3844</v>
      </c>
      <c r="F1469" s="282" t="s">
        <v>1278</v>
      </c>
      <c r="G1469" s="284" t="s">
        <v>52</v>
      </c>
      <c r="H1469" s="283" t="s">
        <v>1262</v>
      </c>
      <c r="I1469" s="283" t="s">
        <v>4445</v>
      </c>
      <c r="J1469" s="779">
        <v>662.67</v>
      </c>
      <c r="K1469" s="780"/>
    </row>
    <row r="1470" spans="1:11" ht="21.95" customHeight="1" thickBot="1" x14ac:dyDescent="0.25">
      <c r="A1470" s="282" t="s">
        <v>1276</v>
      </c>
      <c r="B1470" s="282"/>
      <c r="C1470" s="283" t="s">
        <v>4446</v>
      </c>
      <c r="D1470" s="282" t="s">
        <v>1246</v>
      </c>
      <c r="E1470" s="282" t="s">
        <v>3928</v>
      </c>
      <c r="F1470" s="282" t="s">
        <v>1278</v>
      </c>
      <c r="G1470" s="284" t="s">
        <v>71</v>
      </c>
      <c r="H1470" s="283" t="s">
        <v>4447</v>
      </c>
      <c r="I1470" s="283" t="s">
        <v>4448</v>
      </c>
      <c r="J1470" s="770">
        <v>260.47000000000003</v>
      </c>
      <c r="K1470" s="771"/>
    </row>
    <row r="1471" spans="1:11" ht="0.95" customHeight="1" thickTop="1" x14ac:dyDescent="0.2">
      <c r="A1471" s="281"/>
      <c r="B1471" s="281"/>
      <c r="C1471" s="281"/>
      <c r="D1471" s="281"/>
      <c r="E1471" s="281"/>
      <c r="F1471" s="281"/>
      <c r="G1471" s="281"/>
      <c r="H1471" s="281"/>
      <c r="I1471" s="281"/>
      <c r="J1471" s="421"/>
      <c r="K1471" s="421"/>
    </row>
    <row r="1472" spans="1:11" ht="18" customHeight="1" x14ac:dyDescent="0.2">
      <c r="A1472" s="272"/>
      <c r="B1472" s="272" t="s">
        <v>54</v>
      </c>
      <c r="C1472" s="273" t="s">
        <v>1239</v>
      </c>
      <c r="D1472" s="272" t="s">
        <v>1240</v>
      </c>
      <c r="E1472" s="272" t="s">
        <v>1241</v>
      </c>
      <c r="F1472" s="272" t="s">
        <v>1242</v>
      </c>
      <c r="G1472" s="274" t="s">
        <v>60</v>
      </c>
      <c r="H1472" s="273" t="s">
        <v>58</v>
      </c>
      <c r="I1472" s="273" t="s">
        <v>1243</v>
      </c>
      <c r="J1472" s="775" t="s">
        <v>196</v>
      </c>
      <c r="K1472" s="776"/>
    </row>
    <row r="1473" spans="1:11" ht="33" customHeight="1" x14ac:dyDescent="0.2">
      <c r="A1473" s="275" t="s">
        <v>1244</v>
      </c>
      <c r="B1473" s="275" t="s">
        <v>4449</v>
      </c>
      <c r="C1473" s="276" t="s">
        <v>1956</v>
      </c>
      <c r="D1473" s="275" t="s">
        <v>1246</v>
      </c>
      <c r="E1473" s="275" t="s">
        <v>616</v>
      </c>
      <c r="F1473" s="275" t="s">
        <v>1936</v>
      </c>
      <c r="G1473" s="277" t="s">
        <v>75</v>
      </c>
      <c r="H1473" s="276">
        <v>1</v>
      </c>
      <c r="I1473" s="276" t="s">
        <v>1957</v>
      </c>
      <c r="J1473" s="777" t="s">
        <v>1957</v>
      </c>
      <c r="K1473" s="778"/>
    </row>
    <row r="1474" spans="1:11" ht="21.95" customHeight="1" x14ac:dyDescent="0.2">
      <c r="A1474" s="278" t="s">
        <v>1248</v>
      </c>
      <c r="B1474" s="278"/>
      <c r="C1474" s="279" t="s">
        <v>1864</v>
      </c>
      <c r="D1474" s="278" t="s">
        <v>1250</v>
      </c>
      <c r="E1474" s="278" t="s">
        <v>1865</v>
      </c>
      <c r="F1474" s="278" t="s">
        <v>1252</v>
      </c>
      <c r="G1474" s="280" t="s">
        <v>1253</v>
      </c>
      <c r="H1474" s="279" t="s">
        <v>1262</v>
      </c>
      <c r="I1474" s="279" t="s">
        <v>1866</v>
      </c>
      <c r="J1474" s="781">
        <v>17.690000000000001</v>
      </c>
      <c r="K1474" s="782"/>
    </row>
    <row r="1475" spans="1:11" ht="21.95" customHeight="1" x14ac:dyDescent="0.2">
      <c r="A1475" s="278" t="s">
        <v>1248</v>
      </c>
      <c r="B1475" s="278"/>
      <c r="C1475" s="279" t="s">
        <v>1958</v>
      </c>
      <c r="D1475" s="278" t="s">
        <v>1250</v>
      </c>
      <c r="E1475" s="278" t="s">
        <v>1959</v>
      </c>
      <c r="F1475" s="278" t="s">
        <v>1252</v>
      </c>
      <c r="G1475" s="280" t="s">
        <v>1253</v>
      </c>
      <c r="H1475" s="279" t="s">
        <v>1689</v>
      </c>
      <c r="I1475" s="279" t="s">
        <v>1960</v>
      </c>
      <c r="J1475" s="781">
        <v>7.2</v>
      </c>
      <c r="K1475" s="782"/>
    </row>
    <row r="1476" spans="1:11" ht="21.95" customHeight="1" thickBot="1" x14ac:dyDescent="0.25">
      <c r="A1476" s="282" t="s">
        <v>1276</v>
      </c>
      <c r="B1476" s="282"/>
      <c r="C1476" s="283" t="s">
        <v>1961</v>
      </c>
      <c r="D1476" s="282" t="s">
        <v>1246</v>
      </c>
      <c r="E1476" s="282" t="s">
        <v>1024</v>
      </c>
      <c r="F1476" s="282" t="s">
        <v>1278</v>
      </c>
      <c r="G1476" s="284" t="s">
        <v>75</v>
      </c>
      <c r="H1476" s="283" t="s">
        <v>1262</v>
      </c>
      <c r="I1476" s="283" t="s">
        <v>1962</v>
      </c>
      <c r="J1476" s="770">
        <v>19.100000000000001</v>
      </c>
      <c r="K1476" s="771"/>
    </row>
    <row r="1477" spans="1:11" ht="0.95" customHeight="1" thickTop="1" x14ac:dyDescent="0.2">
      <c r="A1477" s="281"/>
      <c r="B1477" s="281"/>
      <c r="C1477" s="281"/>
      <c r="D1477" s="281"/>
      <c r="E1477" s="281"/>
      <c r="F1477" s="281"/>
      <c r="G1477" s="281"/>
      <c r="H1477" s="281"/>
      <c r="I1477" s="281"/>
      <c r="J1477" s="421"/>
      <c r="K1477" s="421"/>
    </row>
    <row r="1478" spans="1:11" ht="18" customHeight="1" x14ac:dyDescent="0.2">
      <c r="A1478" s="272"/>
      <c r="B1478" s="272" t="s">
        <v>54</v>
      </c>
      <c r="C1478" s="273" t="s">
        <v>1239</v>
      </c>
      <c r="D1478" s="272" t="s">
        <v>1240</v>
      </c>
      <c r="E1478" s="272" t="s">
        <v>1241</v>
      </c>
      <c r="F1478" s="272" t="s">
        <v>1242</v>
      </c>
      <c r="G1478" s="274" t="s">
        <v>60</v>
      </c>
      <c r="H1478" s="273" t="s">
        <v>58</v>
      </c>
      <c r="I1478" s="273" t="s">
        <v>1243</v>
      </c>
      <c r="J1478" s="775" t="s">
        <v>196</v>
      </c>
      <c r="K1478" s="776"/>
    </row>
    <row r="1479" spans="1:11" ht="33" customHeight="1" x14ac:dyDescent="0.2">
      <c r="A1479" s="275" t="s">
        <v>1244</v>
      </c>
      <c r="B1479" s="275" t="s">
        <v>4450</v>
      </c>
      <c r="C1479" s="276" t="s">
        <v>1963</v>
      </c>
      <c r="D1479" s="275" t="s">
        <v>1246</v>
      </c>
      <c r="E1479" s="275" t="s">
        <v>618</v>
      </c>
      <c r="F1479" s="275" t="s">
        <v>1936</v>
      </c>
      <c r="G1479" s="277" t="s">
        <v>75</v>
      </c>
      <c r="H1479" s="276">
        <v>1</v>
      </c>
      <c r="I1479" s="276" t="s">
        <v>1964</v>
      </c>
      <c r="J1479" s="777" t="s">
        <v>1964</v>
      </c>
      <c r="K1479" s="778"/>
    </row>
    <row r="1480" spans="1:11" ht="21.95" customHeight="1" x14ac:dyDescent="0.2">
      <c r="A1480" s="278" t="s">
        <v>1248</v>
      </c>
      <c r="B1480" s="278"/>
      <c r="C1480" s="279" t="s">
        <v>1864</v>
      </c>
      <c r="D1480" s="278" t="s">
        <v>1250</v>
      </c>
      <c r="E1480" s="278" t="s">
        <v>1865</v>
      </c>
      <c r="F1480" s="278" t="s">
        <v>1252</v>
      </c>
      <c r="G1480" s="280" t="s">
        <v>1253</v>
      </c>
      <c r="H1480" s="279" t="s">
        <v>1262</v>
      </c>
      <c r="I1480" s="279" t="s">
        <v>1866</v>
      </c>
      <c r="J1480" s="781">
        <v>17.690000000000001</v>
      </c>
      <c r="K1480" s="782"/>
    </row>
    <row r="1481" spans="1:11" ht="21.95" customHeight="1" x14ac:dyDescent="0.2">
      <c r="A1481" s="278" t="s">
        <v>1248</v>
      </c>
      <c r="B1481" s="278"/>
      <c r="C1481" s="279" t="s">
        <v>1958</v>
      </c>
      <c r="D1481" s="278" t="s">
        <v>1250</v>
      </c>
      <c r="E1481" s="278" t="s">
        <v>1959</v>
      </c>
      <c r="F1481" s="278" t="s">
        <v>1252</v>
      </c>
      <c r="G1481" s="280" t="s">
        <v>1253</v>
      </c>
      <c r="H1481" s="279" t="s">
        <v>1689</v>
      </c>
      <c r="I1481" s="279" t="s">
        <v>1960</v>
      </c>
      <c r="J1481" s="781">
        <v>7.2</v>
      </c>
      <c r="K1481" s="782"/>
    </row>
    <row r="1482" spans="1:11" ht="21.95" customHeight="1" thickBot="1" x14ac:dyDescent="0.25">
      <c r="A1482" s="282" t="s">
        <v>1276</v>
      </c>
      <c r="B1482" s="282"/>
      <c r="C1482" s="283" t="s">
        <v>1965</v>
      </c>
      <c r="D1482" s="282" t="s">
        <v>1246</v>
      </c>
      <c r="E1482" s="282" t="s">
        <v>1027</v>
      </c>
      <c r="F1482" s="282" t="s">
        <v>1278</v>
      </c>
      <c r="G1482" s="284" t="s">
        <v>75</v>
      </c>
      <c r="H1482" s="283" t="s">
        <v>1262</v>
      </c>
      <c r="I1482" s="283" t="s">
        <v>1966</v>
      </c>
      <c r="J1482" s="770">
        <v>51.28</v>
      </c>
      <c r="K1482" s="771"/>
    </row>
    <row r="1483" spans="1:11" ht="0.95" customHeight="1" thickTop="1" x14ac:dyDescent="0.2">
      <c r="A1483" s="281"/>
      <c r="B1483" s="281"/>
      <c r="C1483" s="281"/>
      <c r="D1483" s="281"/>
      <c r="E1483" s="281"/>
      <c r="F1483" s="281"/>
      <c r="G1483" s="281"/>
      <c r="H1483" s="281"/>
      <c r="I1483" s="281"/>
      <c r="J1483" s="421"/>
      <c r="K1483" s="421"/>
    </row>
    <row r="1484" spans="1:11" ht="18" customHeight="1" x14ac:dyDescent="0.2">
      <c r="A1484" s="272"/>
      <c r="B1484" s="272" t="s">
        <v>54</v>
      </c>
      <c r="C1484" s="273" t="s">
        <v>1239</v>
      </c>
      <c r="D1484" s="272" t="s">
        <v>1240</v>
      </c>
      <c r="E1484" s="272" t="s">
        <v>1241</v>
      </c>
      <c r="F1484" s="272" t="s">
        <v>1242</v>
      </c>
      <c r="G1484" s="274" t="s">
        <v>60</v>
      </c>
      <c r="H1484" s="273" t="s">
        <v>58</v>
      </c>
      <c r="I1484" s="273" t="s">
        <v>1243</v>
      </c>
      <c r="J1484" s="775" t="s">
        <v>196</v>
      </c>
      <c r="K1484" s="776"/>
    </row>
    <row r="1485" spans="1:11" ht="21.95" customHeight="1" x14ac:dyDescent="0.2">
      <c r="A1485" s="275" t="s">
        <v>1244</v>
      </c>
      <c r="B1485" s="275" t="s">
        <v>4451</v>
      </c>
      <c r="C1485" s="276" t="s">
        <v>4452</v>
      </c>
      <c r="D1485" s="275" t="s">
        <v>1246</v>
      </c>
      <c r="E1485" s="275" t="s">
        <v>3619</v>
      </c>
      <c r="F1485" s="275" t="s">
        <v>1936</v>
      </c>
      <c r="G1485" s="277" t="s">
        <v>52</v>
      </c>
      <c r="H1485" s="276">
        <v>1</v>
      </c>
      <c r="I1485" s="276" t="s">
        <v>4453</v>
      </c>
      <c r="J1485" s="777" t="s">
        <v>4453</v>
      </c>
      <c r="K1485" s="778"/>
    </row>
    <row r="1486" spans="1:11" ht="21.95" customHeight="1" x14ac:dyDescent="0.2">
      <c r="A1486" s="278" t="s">
        <v>1248</v>
      </c>
      <c r="B1486" s="278"/>
      <c r="C1486" s="279" t="s">
        <v>1864</v>
      </c>
      <c r="D1486" s="278" t="s">
        <v>1250</v>
      </c>
      <c r="E1486" s="278" t="s">
        <v>1865</v>
      </c>
      <c r="F1486" s="278" t="s">
        <v>1252</v>
      </c>
      <c r="G1486" s="280" t="s">
        <v>1253</v>
      </c>
      <c r="H1486" s="279" t="s">
        <v>1356</v>
      </c>
      <c r="I1486" s="279" t="s">
        <v>1866</v>
      </c>
      <c r="J1486" s="781">
        <v>5.3</v>
      </c>
      <c r="K1486" s="782"/>
    </row>
    <row r="1487" spans="1:11" ht="21.95" customHeight="1" x14ac:dyDescent="0.2">
      <c r="A1487" s="278" t="s">
        <v>1248</v>
      </c>
      <c r="B1487" s="278"/>
      <c r="C1487" s="279" t="s">
        <v>1273</v>
      </c>
      <c r="D1487" s="278" t="s">
        <v>1250</v>
      </c>
      <c r="E1487" s="278" t="s">
        <v>1274</v>
      </c>
      <c r="F1487" s="278" t="s">
        <v>1252</v>
      </c>
      <c r="G1487" s="280" t="s">
        <v>1253</v>
      </c>
      <c r="H1487" s="279" t="s">
        <v>1356</v>
      </c>
      <c r="I1487" s="279" t="s">
        <v>1275</v>
      </c>
      <c r="J1487" s="781">
        <v>4.16</v>
      </c>
      <c r="K1487" s="782"/>
    </row>
    <row r="1488" spans="1:11" ht="21.95" customHeight="1" thickBot="1" x14ac:dyDescent="0.25">
      <c r="A1488" s="282" t="s">
        <v>1276</v>
      </c>
      <c r="B1488" s="282"/>
      <c r="C1488" s="283" t="s">
        <v>4454</v>
      </c>
      <c r="D1488" s="282" t="s">
        <v>1250</v>
      </c>
      <c r="E1488" s="282" t="s">
        <v>4455</v>
      </c>
      <c r="F1488" s="282" t="s">
        <v>1278</v>
      </c>
      <c r="G1488" s="284" t="s">
        <v>52</v>
      </c>
      <c r="H1488" s="283" t="s">
        <v>1262</v>
      </c>
      <c r="I1488" s="283" t="s">
        <v>4456</v>
      </c>
      <c r="J1488" s="770">
        <v>85.63</v>
      </c>
      <c r="K1488" s="771"/>
    </row>
    <row r="1489" spans="1:11" ht="0.95" customHeight="1" thickTop="1" x14ac:dyDescent="0.2">
      <c r="A1489" s="281"/>
      <c r="B1489" s="281"/>
      <c r="C1489" s="281"/>
      <c r="D1489" s="281"/>
      <c r="E1489" s="281"/>
      <c r="F1489" s="281"/>
      <c r="G1489" s="281"/>
      <c r="H1489" s="281"/>
      <c r="I1489" s="281"/>
      <c r="J1489" s="421"/>
      <c r="K1489" s="421"/>
    </row>
    <row r="1490" spans="1:11" ht="18" customHeight="1" x14ac:dyDescent="0.2">
      <c r="A1490" s="272"/>
      <c r="B1490" s="272" t="s">
        <v>54</v>
      </c>
      <c r="C1490" s="273" t="s">
        <v>1239</v>
      </c>
      <c r="D1490" s="272" t="s">
        <v>1240</v>
      </c>
      <c r="E1490" s="272" t="s">
        <v>1241</v>
      </c>
      <c r="F1490" s="272" t="s">
        <v>1242</v>
      </c>
      <c r="G1490" s="274" t="s">
        <v>60</v>
      </c>
      <c r="H1490" s="273" t="s">
        <v>58</v>
      </c>
      <c r="I1490" s="273" t="s">
        <v>1243</v>
      </c>
      <c r="J1490" s="775" t="s">
        <v>196</v>
      </c>
      <c r="K1490" s="776"/>
    </row>
    <row r="1491" spans="1:11" ht="21.95" customHeight="1" x14ac:dyDescent="0.2">
      <c r="A1491" s="275" t="s">
        <v>1244</v>
      </c>
      <c r="B1491" s="275" t="s">
        <v>4457</v>
      </c>
      <c r="C1491" s="276" t="s">
        <v>4458</v>
      </c>
      <c r="D1491" s="275" t="s">
        <v>1246</v>
      </c>
      <c r="E1491" s="275" t="s">
        <v>3622</v>
      </c>
      <c r="F1491" s="275" t="s">
        <v>1936</v>
      </c>
      <c r="G1491" s="277" t="s">
        <v>52</v>
      </c>
      <c r="H1491" s="276">
        <v>1</v>
      </c>
      <c r="I1491" s="276" t="s">
        <v>4459</v>
      </c>
      <c r="J1491" s="777" t="s">
        <v>4459</v>
      </c>
      <c r="K1491" s="778"/>
    </row>
    <row r="1492" spans="1:11" ht="21.95" customHeight="1" x14ac:dyDescent="0.2">
      <c r="A1492" s="278" t="s">
        <v>1248</v>
      </c>
      <c r="B1492" s="278"/>
      <c r="C1492" s="279" t="s">
        <v>1958</v>
      </c>
      <c r="D1492" s="278" t="s">
        <v>1250</v>
      </c>
      <c r="E1492" s="278" t="s">
        <v>1959</v>
      </c>
      <c r="F1492" s="278" t="s">
        <v>1252</v>
      </c>
      <c r="G1492" s="280" t="s">
        <v>1253</v>
      </c>
      <c r="H1492" s="279" t="s">
        <v>1346</v>
      </c>
      <c r="I1492" s="279" t="s">
        <v>1960</v>
      </c>
      <c r="J1492" s="781">
        <v>5.76</v>
      </c>
      <c r="K1492" s="782"/>
    </row>
    <row r="1493" spans="1:11" ht="21.95" customHeight="1" x14ac:dyDescent="0.2">
      <c r="A1493" s="278" t="s">
        <v>1248</v>
      </c>
      <c r="B1493" s="278"/>
      <c r="C1493" s="279" t="s">
        <v>1864</v>
      </c>
      <c r="D1493" s="278" t="s">
        <v>1250</v>
      </c>
      <c r="E1493" s="278" t="s">
        <v>1865</v>
      </c>
      <c r="F1493" s="278" t="s">
        <v>1252</v>
      </c>
      <c r="G1493" s="280" t="s">
        <v>1253</v>
      </c>
      <c r="H1493" s="279" t="s">
        <v>1346</v>
      </c>
      <c r="I1493" s="279" t="s">
        <v>1866</v>
      </c>
      <c r="J1493" s="781">
        <v>7.07</v>
      </c>
      <c r="K1493" s="782"/>
    </row>
    <row r="1494" spans="1:11" ht="21.95" customHeight="1" thickBot="1" x14ac:dyDescent="0.25">
      <c r="A1494" s="282" t="s">
        <v>1276</v>
      </c>
      <c r="B1494" s="282"/>
      <c r="C1494" s="283" t="s">
        <v>4460</v>
      </c>
      <c r="D1494" s="282" t="s">
        <v>1250</v>
      </c>
      <c r="E1494" s="282" t="s">
        <v>4461</v>
      </c>
      <c r="F1494" s="282" t="s">
        <v>1278</v>
      </c>
      <c r="G1494" s="284" t="s">
        <v>52</v>
      </c>
      <c r="H1494" s="283" t="s">
        <v>1262</v>
      </c>
      <c r="I1494" s="283" t="s">
        <v>4462</v>
      </c>
      <c r="J1494" s="770">
        <v>304.64999999999998</v>
      </c>
      <c r="K1494" s="771"/>
    </row>
    <row r="1495" spans="1:11" ht="0.95" customHeight="1" thickTop="1" x14ac:dyDescent="0.2">
      <c r="A1495" s="281"/>
      <c r="B1495" s="281"/>
      <c r="C1495" s="281"/>
      <c r="D1495" s="281"/>
      <c r="E1495" s="281"/>
      <c r="F1495" s="281"/>
      <c r="G1495" s="281"/>
      <c r="H1495" s="281"/>
      <c r="I1495" s="281"/>
      <c r="J1495" s="421"/>
      <c r="K1495" s="421"/>
    </row>
    <row r="1496" spans="1:11" ht="18" customHeight="1" x14ac:dyDescent="0.2">
      <c r="A1496" s="272"/>
      <c r="B1496" s="272" t="s">
        <v>54</v>
      </c>
      <c r="C1496" s="273" t="s">
        <v>1239</v>
      </c>
      <c r="D1496" s="272" t="s">
        <v>1240</v>
      </c>
      <c r="E1496" s="272" t="s">
        <v>1241</v>
      </c>
      <c r="F1496" s="272" t="s">
        <v>1242</v>
      </c>
      <c r="G1496" s="274" t="s">
        <v>60</v>
      </c>
      <c r="H1496" s="273" t="s">
        <v>58</v>
      </c>
      <c r="I1496" s="273" t="s">
        <v>1243</v>
      </c>
      <c r="J1496" s="775" t="s">
        <v>196</v>
      </c>
      <c r="K1496" s="776"/>
    </row>
    <row r="1497" spans="1:11" ht="44.1" customHeight="1" x14ac:dyDescent="0.2">
      <c r="A1497" s="275" t="s">
        <v>1244</v>
      </c>
      <c r="B1497" s="275" t="s">
        <v>4463</v>
      </c>
      <c r="C1497" s="276" t="s">
        <v>4464</v>
      </c>
      <c r="D1497" s="275" t="s">
        <v>1246</v>
      </c>
      <c r="E1497" s="275" t="s">
        <v>3624</v>
      </c>
      <c r="F1497" s="275" t="s">
        <v>1874</v>
      </c>
      <c r="G1497" s="277" t="s">
        <v>52</v>
      </c>
      <c r="H1497" s="276">
        <v>1</v>
      </c>
      <c r="I1497" s="276" t="s">
        <v>4465</v>
      </c>
      <c r="J1497" s="777" t="s">
        <v>4465</v>
      </c>
      <c r="K1497" s="778"/>
    </row>
    <row r="1498" spans="1:11" ht="21.95" customHeight="1" x14ac:dyDescent="0.2">
      <c r="A1498" s="278" t="s">
        <v>1248</v>
      </c>
      <c r="B1498" s="278"/>
      <c r="C1498" s="279" t="s">
        <v>1864</v>
      </c>
      <c r="D1498" s="278" t="s">
        <v>1250</v>
      </c>
      <c r="E1498" s="278" t="s">
        <v>1865</v>
      </c>
      <c r="F1498" s="278" t="s">
        <v>1252</v>
      </c>
      <c r="G1498" s="280" t="s">
        <v>1253</v>
      </c>
      <c r="H1498" s="279" t="s">
        <v>1290</v>
      </c>
      <c r="I1498" s="279" t="s">
        <v>1866</v>
      </c>
      <c r="J1498" s="781">
        <v>70.760000000000005</v>
      </c>
      <c r="K1498" s="782"/>
    </row>
    <row r="1499" spans="1:11" ht="21.95" customHeight="1" x14ac:dyDescent="0.2">
      <c r="A1499" s="278" t="s">
        <v>1248</v>
      </c>
      <c r="B1499" s="278"/>
      <c r="C1499" s="279" t="s">
        <v>1958</v>
      </c>
      <c r="D1499" s="278" t="s">
        <v>1250</v>
      </c>
      <c r="E1499" s="278" t="s">
        <v>1959</v>
      </c>
      <c r="F1499" s="278" t="s">
        <v>1252</v>
      </c>
      <c r="G1499" s="280" t="s">
        <v>1253</v>
      </c>
      <c r="H1499" s="279" t="s">
        <v>1290</v>
      </c>
      <c r="I1499" s="279" t="s">
        <v>1960</v>
      </c>
      <c r="J1499" s="781">
        <v>57.64</v>
      </c>
      <c r="K1499" s="782"/>
    </row>
    <row r="1500" spans="1:11" ht="21.95" customHeight="1" x14ac:dyDescent="0.2">
      <c r="A1500" s="282" t="s">
        <v>1276</v>
      </c>
      <c r="B1500" s="282"/>
      <c r="C1500" s="283" t="s">
        <v>1979</v>
      </c>
      <c r="D1500" s="282" t="s">
        <v>1246</v>
      </c>
      <c r="E1500" s="282" t="s">
        <v>858</v>
      </c>
      <c r="F1500" s="282" t="s">
        <v>1278</v>
      </c>
      <c r="G1500" s="284" t="s">
        <v>52</v>
      </c>
      <c r="H1500" s="283" t="s">
        <v>1262</v>
      </c>
      <c r="I1500" s="283" t="s">
        <v>1980</v>
      </c>
      <c r="J1500" s="779">
        <v>36.33</v>
      </c>
      <c r="K1500" s="780"/>
    </row>
    <row r="1501" spans="1:11" ht="21.95" customHeight="1" x14ac:dyDescent="0.2">
      <c r="A1501" s="282" t="s">
        <v>1276</v>
      </c>
      <c r="B1501" s="282"/>
      <c r="C1501" s="283" t="s">
        <v>1981</v>
      </c>
      <c r="D1501" s="282" t="s">
        <v>1246</v>
      </c>
      <c r="E1501" s="282" t="s">
        <v>1982</v>
      </c>
      <c r="F1501" s="282" t="s">
        <v>1278</v>
      </c>
      <c r="G1501" s="284" t="s">
        <v>52</v>
      </c>
      <c r="H1501" s="283" t="s">
        <v>1262</v>
      </c>
      <c r="I1501" s="283" t="s">
        <v>1983</v>
      </c>
      <c r="J1501" s="779">
        <v>36.4</v>
      </c>
      <c r="K1501" s="780"/>
    </row>
    <row r="1502" spans="1:11" ht="21.95" customHeight="1" thickBot="1" x14ac:dyDescent="0.25">
      <c r="A1502" s="282" t="s">
        <v>1276</v>
      </c>
      <c r="B1502" s="282"/>
      <c r="C1502" s="283" t="s">
        <v>4466</v>
      </c>
      <c r="D1502" s="282" t="s">
        <v>1246</v>
      </c>
      <c r="E1502" s="282" t="s">
        <v>3923</v>
      </c>
      <c r="F1502" s="282" t="s">
        <v>1278</v>
      </c>
      <c r="G1502" s="284" t="s">
        <v>75</v>
      </c>
      <c r="H1502" s="283" t="s">
        <v>1417</v>
      </c>
      <c r="I1502" s="283" t="s">
        <v>4467</v>
      </c>
      <c r="J1502" s="770">
        <v>181.4</v>
      </c>
      <c r="K1502" s="771"/>
    </row>
    <row r="1503" spans="1:11" ht="0.95" customHeight="1" thickTop="1" x14ac:dyDescent="0.2">
      <c r="A1503" s="281"/>
      <c r="B1503" s="281"/>
      <c r="C1503" s="281"/>
      <c r="D1503" s="281"/>
      <c r="E1503" s="281"/>
      <c r="F1503" s="281"/>
      <c r="G1503" s="281"/>
      <c r="H1503" s="281"/>
      <c r="I1503" s="281"/>
      <c r="J1503" s="421"/>
      <c r="K1503" s="421"/>
    </row>
    <row r="1504" spans="1:11" ht="18" customHeight="1" x14ac:dyDescent="0.2">
      <c r="A1504" s="272"/>
      <c r="B1504" s="272" t="s">
        <v>54</v>
      </c>
      <c r="C1504" s="273" t="s">
        <v>1239</v>
      </c>
      <c r="D1504" s="272" t="s">
        <v>1240</v>
      </c>
      <c r="E1504" s="272" t="s">
        <v>1241</v>
      </c>
      <c r="F1504" s="272" t="s">
        <v>1242</v>
      </c>
      <c r="G1504" s="274" t="s">
        <v>60</v>
      </c>
      <c r="H1504" s="273" t="s">
        <v>58</v>
      </c>
      <c r="I1504" s="273" t="s">
        <v>1243</v>
      </c>
      <c r="J1504" s="775" t="s">
        <v>196</v>
      </c>
      <c r="K1504" s="776"/>
    </row>
    <row r="1505" spans="1:11" ht="33" customHeight="1" x14ac:dyDescent="0.2">
      <c r="A1505" s="275" t="s">
        <v>1244</v>
      </c>
      <c r="B1505" s="275" t="s">
        <v>4468</v>
      </c>
      <c r="C1505" s="276" t="s">
        <v>2437</v>
      </c>
      <c r="D1505" s="275" t="s">
        <v>1246</v>
      </c>
      <c r="E1505" s="275" t="s">
        <v>729</v>
      </c>
      <c r="F1505" s="275" t="s">
        <v>1936</v>
      </c>
      <c r="G1505" s="277" t="s">
        <v>75</v>
      </c>
      <c r="H1505" s="276">
        <v>1</v>
      </c>
      <c r="I1505" s="276" t="s">
        <v>2438</v>
      </c>
      <c r="J1505" s="777" t="s">
        <v>2438</v>
      </c>
      <c r="K1505" s="778"/>
    </row>
    <row r="1506" spans="1:11" ht="21.95" customHeight="1" x14ac:dyDescent="0.2">
      <c r="A1506" s="278" t="s">
        <v>1248</v>
      </c>
      <c r="B1506" s="278"/>
      <c r="C1506" s="279" t="s">
        <v>1273</v>
      </c>
      <c r="D1506" s="278" t="s">
        <v>1250</v>
      </c>
      <c r="E1506" s="278" t="s">
        <v>1274</v>
      </c>
      <c r="F1506" s="278" t="s">
        <v>1252</v>
      </c>
      <c r="G1506" s="280" t="s">
        <v>1253</v>
      </c>
      <c r="H1506" s="279" t="s">
        <v>1723</v>
      </c>
      <c r="I1506" s="279" t="s">
        <v>1275</v>
      </c>
      <c r="J1506" s="781">
        <v>6.25</v>
      </c>
      <c r="K1506" s="782"/>
    </row>
    <row r="1507" spans="1:11" ht="21.95" customHeight="1" thickBot="1" x14ac:dyDescent="0.25">
      <c r="A1507" s="282" t="s">
        <v>1276</v>
      </c>
      <c r="B1507" s="282"/>
      <c r="C1507" s="283" t="s">
        <v>2439</v>
      </c>
      <c r="D1507" s="282" t="s">
        <v>1246</v>
      </c>
      <c r="E1507" s="282" t="s">
        <v>1028</v>
      </c>
      <c r="F1507" s="282" t="s">
        <v>1278</v>
      </c>
      <c r="G1507" s="284" t="s">
        <v>75</v>
      </c>
      <c r="H1507" s="283" t="s">
        <v>1977</v>
      </c>
      <c r="I1507" s="283" t="s">
        <v>2440</v>
      </c>
      <c r="J1507" s="770">
        <v>2.72</v>
      </c>
      <c r="K1507" s="771"/>
    </row>
    <row r="1508" spans="1:11" ht="0.95" customHeight="1" thickTop="1" x14ac:dyDescent="0.2">
      <c r="A1508" s="281"/>
      <c r="B1508" s="281"/>
      <c r="C1508" s="281"/>
      <c r="D1508" s="281"/>
      <c r="E1508" s="281"/>
      <c r="F1508" s="281"/>
      <c r="G1508" s="281"/>
      <c r="H1508" s="281"/>
      <c r="I1508" s="281"/>
      <c r="J1508" s="421"/>
      <c r="K1508" s="421"/>
    </row>
    <row r="1509" spans="1:11" ht="18" customHeight="1" x14ac:dyDescent="0.2">
      <c r="A1509" s="272"/>
      <c r="B1509" s="272" t="s">
        <v>54</v>
      </c>
      <c r="C1509" s="273" t="s">
        <v>1239</v>
      </c>
      <c r="D1509" s="272" t="s">
        <v>1240</v>
      </c>
      <c r="E1509" s="272" t="s">
        <v>1241</v>
      </c>
      <c r="F1509" s="272" t="s">
        <v>1242</v>
      </c>
      <c r="G1509" s="274" t="s">
        <v>60</v>
      </c>
      <c r="H1509" s="273" t="s">
        <v>58</v>
      </c>
      <c r="I1509" s="273" t="s">
        <v>1243</v>
      </c>
      <c r="J1509" s="775" t="s">
        <v>196</v>
      </c>
      <c r="K1509" s="776"/>
    </row>
    <row r="1510" spans="1:11" ht="33" customHeight="1" x14ac:dyDescent="0.2">
      <c r="A1510" s="275" t="s">
        <v>1244</v>
      </c>
      <c r="B1510" s="275" t="s">
        <v>4469</v>
      </c>
      <c r="C1510" s="276" t="s">
        <v>1973</v>
      </c>
      <c r="D1510" s="275" t="s">
        <v>1246</v>
      </c>
      <c r="E1510" s="275" t="s">
        <v>633</v>
      </c>
      <c r="F1510" s="275" t="s">
        <v>1936</v>
      </c>
      <c r="G1510" s="277" t="s">
        <v>75</v>
      </c>
      <c r="H1510" s="276">
        <v>1</v>
      </c>
      <c r="I1510" s="276" t="s">
        <v>1974</v>
      </c>
      <c r="J1510" s="777" t="s">
        <v>1974</v>
      </c>
      <c r="K1510" s="778"/>
    </row>
    <row r="1511" spans="1:11" ht="21.95" customHeight="1" x14ac:dyDescent="0.2">
      <c r="A1511" s="278" t="s">
        <v>1248</v>
      </c>
      <c r="B1511" s="278"/>
      <c r="C1511" s="279" t="s">
        <v>1273</v>
      </c>
      <c r="D1511" s="278" t="s">
        <v>1250</v>
      </c>
      <c r="E1511" s="278" t="s">
        <v>1274</v>
      </c>
      <c r="F1511" s="278" t="s">
        <v>1252</v>
      </c>
      <c r="G1511" s="280" t="s">
        <v>1253</v>
      </c>
      <c r="H1511" s="279" t="s">
        <v>1723</v>
      </c>
      <c r="I1511" s="279" t="s">
        <v>1275</v>
      </c>
      <c r="J1511" s="781">
        <v>6.25</v>
      </c>
      <c r="K1511" s="782"/>
    </row>
    <row r="1512" spans="1:11" ht="21.95" customHeight="1" thickBot="1" x14ac:dyDescent="0.25">
      <c r="A1512" s="282" t="s">
        <v>1276</v>
      </c>
      <c r="B1512" s="282"/>
      <c r="C1512" s="283" t="s">
        <v>1975</v>
      </c>
      <c r="D1512" s="282" t="s">
        <v>1246</v>
      </c>
      <c r="E1512" s="282" t="s">
        <v>1976</v>
      </c>
      <c r="F1512" s="282" t="s">
        <v>1278</v>
      </c>
      <c r="G1512" s="284" t="s">
        <v>75</v>
      </c>
      <c r="H1512" s="283" t="s">
        <v>1977</v>
      </c>
      <c r="I1512" s="283" t="s">
        <v>1978</v>
      </c>
      <c r="J1512" s="770">
        <v>1.94</v>
      </c>
      <c r="K1512" s="771"/>
    </row>
    <row r="1513" spans="1:11" ht="0.95" customHeight="1" thickTop="1" x14ac:dyDescent="0.2">
      <c r="A1513" s="281"/>
      <c r="B1513" s="281"/>
      <c r="C1513" s="281"/>
      <c r="D1513" s="281"/>
      <c r="E1513" s="281"/>
      <c r="F1513" s="281"/>
      <c r="G1513" s="281"/>
      <c r="H1513" s="281"/>
      <c r="I1513" s="281"/>
      <c r="J1513" s="421"/>
      <c r="K1513" s="421"/>
    </row>
    <row r="1514" spans="1:11" ht="18" customHeight="1" x14ac:dyDescent="0.2">
      <c r="A1514" s="272"/>
      <c r="B1514" s="272" t="s">
        <v>54</v>
      </c>
      <c r="C1514" s="273" t="s">
        <v>1239</v>
      </c>
      <c r="D1514" s="272" t="s">
        <v>1240</v>
      </c>
      <c r="E1514" s="272" t="s">
        <v>1241</v>
      </c>
      <c r="F1514" s="272" t="s">
        <v>1242</v>
      </c>
      <c r="G1514" s="274" t="s">
        <v>60</v>
      </c>
      <c r="H1514" s="273" t="s">
        <v>58</v>
      </c>
      <c r="I1514" s="273" t="s">
        <v>1243</v>
      </c>
      <c r="J1514" s="775" t="s">
        <v>196</v>
      </c>
      <c r="K1514" s="776"/>
    </row>
    <row r="1515" spans="1:11" ht="21.95" customHeight="1" x14ac:dyDescent="0.2">
      <c r="A1515" s="275" t="s">
        <v>1244</v>
      </c>
      <c r="B1515" s="275" t="s">
        <v>4470</v>
      </c>
      <c r="C1515" s="276" t="s">
        <v>1967</v>
      </c>
      <c r="D1515" s="275" t="s">
        <v>1246</v>
      </c>
      <c r="E1515" s="275" t="s">
        <v>623</v>
      </c>
      <c r="F1515" s="275" t="s">
        <v>1936</v>
      </c>
      <c r="G1515" s="277" t="s">
        <v>52</v>
      </c>
      <c r="H1515" s="276">
        <v>1</v>
      </c>
      <c r="I1515" s="276" t="s">
        <v>1968</v>
      </c>
      <c r="J1515" s="777" t="s">
        <v>1968</v>
      </c>
      <c r="K1515" s="778"/>
    </row>
    <row r="1516" spans="1:11" ht="21.95" customHeight="1" x14ac:dyDescent="0.2">
      <c r="A1516" s="278" t="s">
        <v>1248</v>
      </c>
      <c r="B1516" s="278"/>
      <c r="C1516" s="279" t="s">
        <v>1864</v>
      </c>
      <c r="D1516" s="278" t="s">
        <v>1250</v>
      </c>
      <c r="E1516" s="278" t="s">
        <v>1865</v>
      </c>
      <c r="F1516" s="278" t="s">
        <v>1252</v>
      </c>
      <c r="G1516" s="280" t="s">
        <v>1253</v>
      </c>
      <c r="H1516" s="279" t="s">
        <v>1356</v>
      </c>
      <c r="I1516" s="279" t="s">
        <v>1866</v>
      </c>
      <c r="J1516" s="781">
        <v>5.3</v>
      </c>
      <c r="K1516" s="782"/>
    </row>
    <row r="1517" spans="1:11" ht="21.95" customHeight="1" x14ac:dyDescent="0.2">
      <c r="A1517" s="278" t="s">
        <v>1248</v>
      </c>
      <c r="B1517" s="278"/>
      <c r="C1517" s="279" t="s">
        <v>1273</v>
      </c>
      <c r="D1517" s="278" t="s">
        <v>1250</v>
      </c>
      <c r="E1517" s="278" t="s">
        <v>1274</v>
      </c>
      <c r="F1517" s="278" t="s">
        <v>1252</v>
      </c>
      <c r="G1517" s="280" t="s">
        <v>1253</v>
      </c>
      <c r="H1517" s="279" t="s">
        <v>1356</v>
      </c>
      <c r="I1517" s="279" t="s">
        <v>1275</v>
      </c>
      <c r="J1517" s="781">
        <v>4.16</v>
      </c>
      <c r="K1517" s="782"/>
    </row>
    <row r="1518" spans="1:11" ht="21.95" customHeight="1" x14ac:dyDescent="0.2">
      <c r="A1518" s="282" t="s">
        <v>1276</v>
      </c>
      <c r="B1518" s="282"/>
      <c r="C1518" s="283" t="s">
        <v>1969</v>
      </c>
      <c r="D1518" s="282" t="s">
        <v>1246</v>
      </c>
      <c r="E1518" s="282" t="s">
        <v>887</v>
      </c>
      <c r="F1518" s="282" t="s">
        <v>1278</v>
      </c>
      <c r="G1518" s="284" t="s">
        <v>52</v>
      </c>
      <c r="H1518" s="283" t="s">
        <v>1262</v>
      </c>
      <c r="I1518" s="283" t="s">
        <v>1970</v>
      </c>
      <c r="J1518" s="779">
        <v>1314.28</v>
      </c>
      <c r="K1518" s="780"/>
    </row>
    <row r="1519" spans="1:11" ht="21.95" customHeight="1" thickBot="1" x14ac:dyDescent="0.25">
      <c r="A1519" s="282" t="s">
        <v>1276</v>
      </c>
      <c r="B1519" s="282"/>
      <c r="C1519" s="283" t="s">
        <v>1971</v>
      </c>
      <c r="D1519" s="282" t="s">
        <v>1250</v>
      </c>
      <c r="E1519" s="282" t="s">
        <v>1972</v>
      </c>
      <c r="F1519" s="282" t="s">
        <v>1278</v>
      </c>
      <c r="G1519" s="284" t="s">
        <v>52</v>
      </c>
      <c r="H1519" s="283" t="s">
        <v>1417</v>
      </c>
      <c r="I1519" s="283" t="s">
        <v>1898</v>
      </c>
      <c r="J1519" s="770">
        <v>3.52</v>
      </c>
      <c r="K1519" s="771"/>
    </row>
    <row r="1520" spans="1:11" ht="0.95" customHeight="1" thickTop="1" x14ac:dyDescent="0.2">
      <c r="A1520" s="281"/>
      <c r="B1520" s="281"/>
      <c r="C1520" s="281"/>
      <c r="D1520" s="281"/>
      <c r="E1520" s="281"/>
      <c r="F1520" s="281"/>
      <c r="G1520" s="281"/>
      <c r="H1520" s="281"/>
      <c r="I1520" s="281"/>
      <c r="J1520" s="421"/>
      <c r="K1520" s="421"/>
    </row>
    <row r="1521" spans="1:11" ht="18" customHeight="1" x14ac:dyDescent="0.2">
      <c r="A1521" s="272"/>
      <c r="B1521" s="272" t="s">
        <v>54</v>
      </c>
      <c r="C1521" s="273" t="s">
        <v>1239</v>
      </c>
      <c r="D1521" s="272" t="s">
        <v>1240</v>
      </c>
      <c r="E1521" s="272" t="s">
        <v>1241</v>
      </c>
      <c r="F1521" s="272" t="s">
        <v>1242</v>
      </c>
      <c r="G1521" s="274" t="s">
        <v>60</v>
      </c>
      <c r="H1521" s="273" t="s">
        <v>58</v>
      </c>
      <c r="I1521" s="273" t="s">
        <v>1243</v>
      </c>
      <c r="J1521" s="775" t="s">
        <v>196</v>
      </c>
      <c r="K1521" s="776"/>
    </row>
    <row r="1522" spans="1:11" ht="21.95" customHeight="1" x14ac:dyDescent="0.2">
      <c r="A1522" s="275" t="s">
        <v>1244</v>
      </c>
      <c r="B1522" s="275" t="s">
        <v>4471</v>
      </c>
      <c r="C1522" s="276" t="s">
        <v>4472</v>
      </c>
      <c r="D1522" s="275" t="s">
        <v>1246</v>
      </c>
      <c r="E1522" s="275" t="s">
        <v>3631</v>
      </c>
      <c r="F1522" s="275" t="s">
        <v>1936</v>
      </c>
      <c r="G1522" s="277" t="s">
        <v>52</v>
      </c>
      <c r="H1522" s="276">
        <v>1</v>
      </c>
      <c r="I1522" s="276" t="s">
        <v>4473</v>
      </c>
      <c r="J1522" s="777" t="s">
        <v>4473</v>
      </c>
      <c r="K1522" s="778"/>
    </row>
    <row r="1523" spans="1:11" ht="21.95" customHeight="1" x14ac:dyDescent="0.2">
      <c r="A1523" s="278" t="s">
        <v>1248</v>
      </c>
      <c r="B1523" s="278"/>
      <c r="C1523" s="279" t="s">
        <v>1864</v>
      </c>
      <c r="D1523" s="278" t="s">
        <v>1250</v>
      </c>
      <c r="E1523" s="278" t="s">
        <v>1865</v>
      </c>
      <c r="F1523" s="278" t="s">
        <v>1252</v>
      </c>
      <c r="G1523" s="280" t="s">
        <v>1253</v>
      </c>
      <c r="H1523" s="279" t="s">
        <v>4474</v>
      </c>
      <c r="I1523" s="279" t="s">
        <v>1866</v>
      </c>
      <c r="J1523" s="781">
        <v>300.73</v>
      </c>
      <c r="K1523" s="782"/>
    </row>
    <row r="1524" spans="1:11" ht="21.95" customHeight="1" x14ac:dyDescent="0.2">
      <c r="A1524" s="278" t="s">
        <v>1248</v>
      </c>
      <c r="B1524" s="278"/>
      <c r="C1524" s="279" t="s">
        <v>1958</v>
      </c>
      <c r="D1524" s="278" t="s">
        <v>1250</v>
      </c>
      <c r="E1524" s="278" t="s">
        <v>1959</v>
      </c>
      <c r="F1524" s="278" t="s">
        <v>1252</v>
      </c>
      <c r="G1524" s="280" t="s">
        <v>1253</v>
      </c>
      <c r="H1524" s="279" t="s">
        <v>4475</v>
      </c>
      <c r="I1524" s="279" t="s">
        <v>1960</v>
      </c>
      <c r="J1524" s="781">
        <v>230.56</v>
      </c>
      <c r="K1524" s="782"/>
    </row>
    <row r="1525" spans="1:11" ht="21.95" customHeight="1" x14ac:dyDescent="0.2">
      <c r="A1525" s="278" t="s">
        <v>1248</v>
      </c>
      <c r="B1525" s="278"/>
      <c r="C1525" s="279" t="s">
        <v>1269</v>
      </c>
      <c r="D1525" s="278" t="s">
        <v>1250</v>
      </c>
      <c r="E1525" s="278" t="s">
        <v>1270</v>
      </c>
      <c r="F1525" s="278" t="s">
        <v>1252</v>
      </c>
      <c r="G1525" s="280" t="s">
        <v>1253</v>
      </c>
      <c r="H1525" s="279" t="s">
        <v>1985</v>
      </c>
      <c r="I1525" s="279" t="s">
        <v>1272</v>
      </c>
      <c r="J1525" s="781">
        <v>102.54</v>
      </c>
      <c r="K1525" s="782"/>
    </row>
    <row r="1526" spans="1:11" ht="21.95" customHeight="1" x14ac:dyDescent="0.2">
      <c r="A1526" s="278" t="s">
        <v>1248</v>
      </c>
      <c r="B1526" s="278"/>
      <c r="C1526" s="279" t="s">
        <v>1273</v>
      </c>
      <c r="D1526" s="278" t="s">
        <v>1250</v>
      </c>
      <c r="E1526" s="278" t="s">
        <v>1274</v>
      </c>
      <c r="F1526" s="278" t="s">
        <v>1252</v>
      </c>
      <c r="G1526" s="280" t="s">
        <v>1253</v>
      </c>
      <c r="H1526" s="279" t="s">
        <v>1294</v>
      </c>
      <c r="I1526" s="279" t="s">
        <v>1275</v>
      </c>
      <c r="J1526" s="781">
        <v>111.12</v>
      </c>
      <c r="K1526" s="782"/>
    </row>
    <row r="1527" spans="1:11" ht="21.95" customHeight="1" x14ac:dyDescent="0.2">
      <c r="A1527" s="278" t="s">
        <v>1248</v>
      </c>
      <c r="B1527" s="278"/>
      <c r="C1527" s="279" t="s">
        <v>4476</v>
      </c>
      <c r="D1527" s="278" t="s">
        <v>1250</v>
      </c>
      <c r="E1527" s="278" t="s">
        <v>4477</v>
      </c>
      <c r="F1527" s="278" t="s">
        <v>1364</v>
      </c>
      <c r="G1527" s="280" t="s">
        <v>77</v>
      </c>
      <c r="H1527" s="279" t="s">
        <v>1382</v>
      </c>
      <c r="I1527" s="279" t="s">
        <v>4478</v>
      </c>
      <c r="J1527" s="781">
        <v>17.57</v>
      </c>
      <c r="K1527" s="782"/>
    </row>
    <row r="1528" spans="1:11" ht="33" customHeight="1" x14ac:dyDescent="0.2">
      <c r="A1528" s="278" t="s">
        <v>1248</v>
      </c>
      <c r="B1528" s="278"/>
      <c r="C1528" s="279" t="s">
        <v>4262</v>
      </c>
      <c r="D1528" s="278" t="s">
        <v>1250</v>
      </c>
      <c r="E1528" s="278" t="s">
        <v>4263</v>
      </c>
      <c r="F1528" s="278" t="s">
        <v>1364</v>
      </c>
      <c r="G1528" s="280" t="s">
        <v>153</v>
      </c>
      <c r="H1528" s="279" t="s">
        <v>4479</v>
      </c>
      <c r="I1528" s="279" t="s">
        <v>4264</v>
      </c>
      <c r="J1528" s="781">
        <v>263.77999999999997</v>
      </c>
      <c r="K1528" s="782"/>
    </row>
    <row r="1529" spans="1:11" ht="21.95" customHeight="1" x14ac:dyDescent="0.2">
      <c r="A1529" s="278" t="s">
        <v>1248</v>
      </c>
      <c r="B1529" s="278"/>
      <c r="C1529" s="279" t="s">
        <v>4265</v>
      </c>
      <c r="D1529" s="278" t="s">
        <v>1250</v>
      </c>
      <c r="E1529" s="278" t="s">
        <v>4266</v>
      </c>
      <c r="F1529" s="278" t="s">
        <v>1364</v>
      </c>
      <c r="G1529" s="280" t="s">
        <v>153</v>
      </c>
      <c r="H1529" s="279" t="s">
        <v>4479</v>
      </c>
      <c r="I1529" s="279" t="s">
        <v>4267</v>
      </c>
      <c r="J1529" s="781">
        <v>80.150000000000006</v>
      </c>
      <c r="K1529" s="782"/>
    </row>
    <row r="1530" spans="1:11" ht="54.95" customHeight="1" x14ac:dyDescent="0.2">
      <c r="A1530" s="278" t="s">
        <v>1248</v>
      </c>
      <c r="B1530" s="278"/>
      <c r="C1530" s="279" t="s">
        <v>2285</v>
      </c>
      <c r="D1530" s="278" t="s">
        <v>1250</v>
      </c>
      <c r="E1530" s="278" t="s">
        <v>2286</v>
      </c>
      <c r="F1530" s="278" t="s">
        <v>1379</v>
      </c>
      <c r="G1530" s="280" t="s">
        <v>77</v>
      </c>
      <c r="H1530" s="279" t="s">
        <v>4480</v>
      </c>
      <c r="I1530" s="279" t="s">
        <v>2287</v>
      </c>
      <c r="J1530" s="781">
        <v>340.74</v>
      </c>
      <c r="K1530" s="782"/>
    </row>
    <row r="1531" spans="1:11" ht="21.95" customHeight="1" x14ac:dyDescent="0.2">
      <c r="A1531" s="278" t="s">
        <v>1248</v>
      </c>
      <c r="B1531" s="278"/>
      <c r="C1531" s="279" t="s">
        <v>4481</v>
      </c>
      <c r="D1531" s="278" t="s">
        <v>1250</v>
      </c>
      <c r="E1531" s="278" t="s">
        <v>304</v>
      </c>
      <c r="F1531" s="278" t="s">
        <v>1750</v>
      </c>
      <c r="G1531" s="280" t="s">
        <v>52</v>
      </c>
      <c r="H1531" s="279" t="s">
        <v>1262</v>
      </c>
      <c r="I1531" s="279" t="s">
        <v>4482</v>
      </c>
      <c r="J1531" s="781">
        <v>322.83999999999997</v>
      </c>
      <c r="K1531" s="782"/>
    </row>
    <row r="1532" spans="1:11" ht="21.95" customHeight="1" x14ac:dyDescent="0.2">
      <c r="A1532" s="278" t="s">
        <v>1248</v>
      </c>
      <c r="B1532" s="278"/>
      <c r="C1532" s="279" t="s">
        <v>1384</v>
      </c>
      <c r="D1532" s="278" t="s">
        <v>1250</v>
      </c>
      <c r="E1532" s="278" t="s">
        <v>243</v>
      </c>
      <c r="F1532" s="278" t="s">
        <v>1385</v>
      </c>
      <c r="G1532" s="280" t="s">
        <v>153</v>
      </c>
      <c r="H1532" s="279" t="s">
        <v>4483</v>
      </c>
      <c r="I1532" s="279" t="s">
        <v>1386</v>
      </c>
      <c r="J1532" s="781">
        <v>222.5</v>
      </c>
      <c r="K1532" s="782"/>
    </row>
    <row r="1533" spans="1:11" ht="21.95" customHeight="1" x14ac:dyDescent="0.2">
      <c r="A1533" s="278" t="s">
        <v>1248</v>
      </c>
      <c r="B1533" s="278"/>
      <c r="C1533" s="279" t="s">
        <v>2111</v>
      </c>
      <c r="D1533" s="278" t="s">
        <v>1250</v>
      </c>
      <c r="E1533" s="278" t="s">
        <v>246</v>
      </c>
      <c r="F1533" s="278" t="s">
        <v>1385</v>
      </c>
      <c r="G1533" s="280" t="s">
        <v>153</v>
      </c>
      <c r="H1533" s="279" t="s">
        <v>4483</v>
      </c>
      <c r="I1533" s="279" t="s">
        <v>2113</v>
      </c>
      <c r="J1533" s="781">
        <v>168.76</v>
      </c>
      <c r="K1533" s="782"/>
    </row>
    <row r="1534" spans="1:11" ht="54.95" customHeight="1" x14ac:dyDescent="0.2">
      <c r="A1534" s="278" t="s">
        <v>1248</v>
      </c>
      <c r="B1534" s="278"/>
      <c r="C1534" s="279" t="s">
        <v>1989</v>
      </c>
      <c r="D1534" s="278" t="s">
        <v>1250</v>
      </c>
      <c r="E1534" s="278" t="s">
        <v>1990</v>
      </c>
      <c r="F1534" s="278" t="s">
        <v>1481</v>
      </c>
      <c r="G1534" s="280" t="s">
        <v>1482</v>
      </c>
      <c r="H1534" s="279" t="s">
        <v>1294</v>
      </c>
      <c r="I1534" s="279" t="s">
        <v>1991</v>
      </c>
      <c r="J1534" s="781">
        <v>971.28</v>
      </c>
      <c r="K1534" s="782"/>
    </row>
    <row r="1535" spans="1:11" ht="21.95" customHeight="1" x14ac:dyDescent="0.2">
      <c r="A1535" s="282" t="s">
        <v>1276</v>
      </c>
      <c r="B1535" s="282"/>
      <c r="C1535" s="283" t="s">
        <v>4484</v>
      </c>
      <c r="D1535" s="282" t="s">
        <v>1246</v>
      </c>
      <c r="E1535" s="282" t="s">
        <v>4485</v>
      </c>
      <c r="F1535" s="282" t="s">
        <v>1278</v>
      </c>
      <c r="G1535" s="284" t="s">
        <v>52</v>
      </c>
      <c r="H1535" s="283" t="s">
        <v>1262</v>
      </c>
      <c r="I1535" s="283" t="s">
        <v>4486</v>
      </c>
      <c r="J1535" s="779">
        <v>1632.93</v>
      </c>
      <c r="K1535" s="780"/>
    </row>
    <row r="1536" spans="1:11" ht="33" customHeight="1" x14ac:dyDescent="0.2">
      <c r="A1536" s="282" t="s">
        <v>1276</v>
      </c>
      <c r="B1536" s="282"/>
      <c r="C1536" s="283" t="s">
        <v>4487</v>
      </c>
      <c r="D1536" s="282" t="s">
        <v>1250</v>
      </c>
      <c r="E1536" s="282" t="s">
        <v>4488</v>
      </c>
      <c r="F1536" s="282" t="s">
        <v>1278</v>
      </c>
      <c r="G1536" s="284" t="s">
        <v>52</v>
      </c>
      <c r="H1536" s="283" t="s">
        <v>1262</v>
      </c>
      <c r="I1536" s="283" t="s">
        <v>4489</v>
      </c>
      <c r="J1536" s="779">
        <v>3.99</v>
      </c>
      <c r="K1536" s="780"/>
    </row>
    <row r="1537" spans="1:11" ht="21.95" customHeight="1" x14ac:dyDescent="0.2">
      <c r="A1537" s="282" t="s">
        <v>1276</v>
      </c>
      <c r="B1537" s="282"/>
      <c r="C1537" s="283" t="s">
        <v>4490</v>
      </c>
      <c r="D1537" s="282" t="s">
        <v>1246</v>
      </c>
      <c r="E1537" s="282" t="s">
        <v>4491</v>
      </c>
      <c r="F1537" s="282" t="s">
        <v>1278</v>
      </c>
      <c r="G1537" s="284" t="s">
        <v>52</v>
      </c>
      <c r="H1537" s="283" t="s">
        <v>1417</v>
      </c>
      <c r="I1537" s="283" t="s">
        <v>4492</v>
      </c>
      <c r="J1537" s="779">
        <v>9.6199999999999992</v>
      </c>
      <c r="K1537" s="780"/>
    </row>
    <row r="1538" spans="1:11" ht="21.95" customHeight="1" x14ac:dyDescent="0.2">
      <c r="A1538" s="282" t="s">
        <v>1276</v>
      </c>
      <c r="B1538" s="282"/>
      <c r="C1538" s="283" t="s">
        <v>4493</v>
      </c>
      <c r="D1538" s="282" t="s">
        <v>1250</v>
      </c>
      <c r="E1538" s="282" t="s">
        <v>4494</v>
      </c>
      <c r="F1538" s="282" t="s">
        <v>1278</v>
      </c>
      <c r="G1538" s="284" t="s">
        <v>52</v>
      </c>
      <c r="H1538" s="283" t="s">
        <v>1262</v>
      </c>
      <c r="I1538" s="283" t="s">
        <v>2110</v>
      </c>
      <c r="J1538" s="779">
        <v>1.9</v>
      </c>
      <c r="K1538" s="780"/>
    </row>
    <row r="1539" spans="1:11" ht="21.95" customHeight="1" x14ac:dyDescent="0.2">
      <c r="A1539" s="282" t="s">
        <v>1276</v>
      </c>
      <c r="B1539" s="282"/>
      <c r="C1539" s="283" t="s">
        <v>4495</v>
      </c>
      <c r="D1539" s="282" t="s">
        <v>1246</v>
      </c>
      <c r="E1539" s="282" t="s">
        <v>4496</v>
      </c>
      <c r="F1539" s="282" t="s">
        <v>1278</v>
      </c>
      <c r="G1539" s="284" t="s">
        <v>52</v>
      </c>
      <c r="H1539" s="283" t="s">
        <v>1290</v>
      </c>
      <c r="I1539" s="283" t="s">
        <v>4497</v>
      </c>
      <c r="J1539" s="779">
        <v>35.520000000000003</v>
      </c>
      <c r="K1539" s="780"/>
    </row>
    <row r="1540" spans="1:11" ht="21.95" customHeight="1" x14ac:dyDescent="0.2">
      <c r="A1540" s="282" t="s">
        <v>1276</v>
      </c>
      <c r="B1540" s="282"/>
      <c r="C1540" s="283" t="s">
        <v>4498</v>
      </c>
      <c r="D1540" s="282" t="s">
        <v>1246</v>
      </c>
      <c r="E1540" s="282" t="s">
        <v>4499</v>
      </c>
      <c r="F1540" s="282" t="s">
        <v>1278</v>
      </c>
      <c r="G1540" s="284" t="s">
        <v>52</v>
      </c>
      <c r="H1540" s="283" t="s">
        <v>1984</v>
      </c>
      <c r="I1540" s="283" t="s">
        <v>4500</v>
      </c>
      <c r="J1540" s="779">
        <v>132</v>
      </c>
      <c r="K1540" s="780"/>
    </row>
    <row r="1541" spans="1:11" ht="21.95" customHeight="1" x14ac:dyDescent="0.2">
      <c r="A1541" s="282" t="s">
        <v>1276</v>
      </c>
      <c r="B1541" s="282"/>
      <c r="C1541" s="283" t="s">
        <v>4501</v>
      </c>
      <c r="D1541" s="282" t="s">
        <v>1246</v>
      </c>
      <c r="E1541" s="282" t="s">
        <v>4502</v>
      </c>
      <c r="F1541" s="282" t="s">
        <v>1278</v>
      </c>
      <c r="G1541" s="284" t="s">
        <v>52</v>
      </c>
      <c r="H1541" s="283" t="s">
        <v>1984</v>
      </c>
      <c r="I1541" s="283" t="s">
        <v>4503</v>
      </c>
      <c r="J1541" s="779">
        <v>30.9</v>
      </c>
      <c r="K1541" s="780"/>
    </row>
    <row r="1542" spans="1:11" ht="21.95" customHeight="1" x14ac:dyDescent="0.2">
      <c r="A1542" s="282" t="s">
        <v>1276</v>
      </c>
      <c r="B1542" s="282"/>
      <c r="C1542" s="283" t="s">
        <v>4504</v>
      </c>
      <c r="D1542" s="282" t="s">
        <v>1246</v>
      </c>
      <c r="E1542" s="282" t="s">
        <v>4505</v>
      </c>
      <c r="F1542" s="282" t="s">
        <v>1278</v>
      </c>
      <c r="G1542" s="284" t="s">
        <v>52</v>
      </c>
      <c r="H1542" s="283" t="s">
        <v>1984</v>
      </c>
      <c r="I1542" s="283" t="s">
        <v>4506</v>
      </c>
      <c r="J1542" s="779">
        <v>30.54</v>
      </c>
      <c r="K1542" s="780"/>
    </row>
    <row r="1543" spans="1:11" ht="21.95" customHeight="1" x14ac:dyDescent="0.2">
      <c r="A1543" s="282" t="s">
        <v>1276</v>
      </c>
      <c r="B1543" s="282"/>
      <c r="C1543" s="283" t="s">
        <v>4507</v>
      </c>
      <c r="D1543" s="282" t="s">
        <v>1246</v>
      </c>
      <c r="E1543" s="282" t="s">
        <v>4508</v>
      </c>
      <c r="F1543" s="282" t="s">
        <v>1278</v>
      </c>
      <c r="G1543" s="284" t="s">
        <v>52</v>
      </c>
      <c r="H1543" s="283" t="s">
        <v>1262</v>
      </c>
      <c r="I1543" s="283" t="s">
        <v>4509</v>
      </c>
      <c r="J1543" s="779">
        <v>83.96</v>
      </c>
      <c r="K1543" s="780"/>
    </row>
    <row r="1544" spans="1:11" ht="21.95" customHeight="1" x14ac:dyDescent="0.2">
      <c r="A1544" s="282" t="s">
        <v>1276</v>
      </c>
      <c r="B1544" s="282"/>
      <c r="C1544" s="283" t="s">
        <v>4510</v>
      </c>
      <c r="D1544" s="282" t="s">
        <v>1246</v>
      </c>
      <c r="E1544" s="282" t="s">
        <v>4511</v>
      </c>
      <c r="F1544" s="282" t="s">
        <v>1278</v>
      </c>
      <c r="G1544" s="284" t="s">
        <v>52</v>
      </c>
      <c r="H1544" s="283" t="s">
        <v>1262</v>
      </c>
      <c r="I1544" s="283" t="s">
        <v>1438</v>
      </c>
      <c r="J1544" s="779">
        <v>19.809999999999999</v>
      </c>
      <c r="K1544" s="780"/>
    </row>
    <row r="1545" spans="1:11" ht="21.95" customHeight="1" x14ac:dyDescent="0.2">
      <c r="A1545" s="282" t="s">
        <v>1276</v>
      </c>
      <c r="B1545" s="282"/>
      <c r="C1545" s="283" t="s">
        <v>4512</v>
      </c>
      <c r="D1545" s="282" t="s">
        <v>1246</v>
      </c>
      <c r="E1545" s="282" t="s">
        <v>4513</v>
      </c>
      <c r="F1545" s="282" t="s">
        <v>1278</v>
      </c>
      <c r="G1545" s="284" t="s">
        <v>52</v>
      </c>
      <c r="H1545" s="283" t="s">
        <v>1984</v>
      </c>
      <c r="I1545" s="283" t="s">
        <v>4514</v>
      </c>
      <c r="J1545" s="779">
        <v>555.03</v>
      </c>
      <c r="K1545" s="780"/>
    </row>
    <row r="1546" spans="1:11" ht="21.95" customHeight="1" x14ac:dyDescent="0.2">
      <c r="A1546" s="282" t="s">
        <v>1276</v>
      </c>
      <c r="B1546" s="282"/>
      <c r="C1546" s="283" t="s">
        <v>4515</v>
      </c>
      <c r="D1546" s="282" t="s">
        <v>1246</v>
      </c>
      <c r="E1546" s="282" t="s">
        <v>4516</v>
      </c>
      <c r="F1546" s="282" t="s">
        <v>1278</v>
      </c>
      <c r="G1546" s="284" t="s">
        <v>52</v>
      </c>
      <c r="H1546" s="283" t="s">
        <v>1262</v>
      </c>
      <c r="I1546" s="283" t="s">
        <v>4517</v>
      </c>
      <c r="J1546" s="779">
        <v>96.49</v>
      </c>
      <c r="K1546" s="780"/>
    </row>
    <row r="1547" spans="1:11" ht="21.95" customHeight="1" x14ac:dyDescent="0.2">
      <c r="A1547" s="282" t="s">
        <v>1276</v>
      </c>
      <c r="B1547" s="282"/>
      <c r="C1547" s="283" t="s">
        <v>4518</v>
      </c>
      <c r="D1547" s="282" t="s">
        <v>1246</v>
      </c>
      <c r="E1547" s="282" t="s">
        <v>4519</v>
      </c>
      <c r="F1547" s="282" t="s">
        <v>1278</v>
      </c>
      <c r="G1547" s="284" t="s">
        <v>52</v>
      </c>
      <c r="H1547" s="283" t="s">
        <v>1984</v>
      </c>
      <c r="I1547" s="283" t="s">
        <v>4520</v>
      </c>
      <c r="J1547" s="779">
        <v>747.15</v>
      </c>
      <c r="K1547" s="780"/>
    </row>
    <row r="1548" spans="1:11" ht="21.95" customHeight="1" x14ac:dyDescent="0.2">
      <c r="A1548" s="282" t="s">
        <v>1276</v>
      </c>
      <c r="B1548" s="282"/>
      <c r="C1548" s="283" t="s">
        <v>4521</v>
      </c>
      <c r="D1548" s="282" t="s">
        <v>1246</v>
      </c>
      <c r="E1548" s="282" t="s">
        <v>4522</v>
      </c>
      <c r="F1548" s="282" t="s">
        <v>1278</v>
      </c>
      <c r="G1548" s="284" t="s">
        <v>52</v>
      </c>
      <c r="H1548" s="283" t="s">
        <v>1984</v>
      </c>
      <c r="I1548" s="283" t="s">
        <v>2110</v>
      </c>
      <c r="J1548" s="779">
        <v>5.7</v>
      </c>
      <c r="K1548" s="780"/>
    </row>
    <row r="1549" spans="1:11" ht="21.95" customHeight="1" x14ac:dyDescent="0.2">
      <c r="A1549" s="282" t="s">
        <v>1276</v>
      </c>
      <c r="B1549" s="282"/>
      <c r="C1549" s="283" t="s">
        <v>4523</v>
      </c>
      <c r="D1549" s="282" t="s">
        <v>1246</v>
      </c>
      <c r="E1549" s="282" t="s">
        <v>4524</v>
      </c>
      <c r="F1549" s="282" t="s">
        <v>1278</v>
      </c>
      <c r="G1549" s="284" t="s">
        <v>52</v>
      </c>
      <c r="H1549" s="283" t="s">
        <v>1417</v>
      </c>
      <c r="I1549" s="283" t="s">
        <v>4525</v>
      </c>
      <c r="J1549" s="779">
        <v>11.32</v>
      </c>
      <c r="K1549" s="780"/>
    </row>
    <row r="1550" spans="1:11" ht="21.95" customHeight="1" x14ac:dyDescent="0.2">
      <c r="A1550" s="282" t="s">
        <v>1276</v>
      </c>
      <c r="B1550" s="282"/>
      <c r="C1550" s="283" t="s">
        <v>4526</v>
      </c>
      <c r="D1550" s="282" t="s">
        <v>1246</v>
      </c>
      <c r="E1550" s="282" t="s">
        <v>4527</v>
      </c>
      <c r="F1550" s="282" t="s">
        <v>1278</v>
      </c>
      <c r="G1550" s="284" t="s">
        <v>52</v>
      </c>
      <c r="H1550" s="283" t="s">
        <v>1417</v>
      </c>
      <c r="I1550" s="283" t="s">
        <v>4528</v>
      </c>
      <c r="J1550" s="779">
        <v>69.92</v>
      </c>
      <c r="K1550" s="780"/>
    </row>
    <row r="1551" spans="1:11" ht="21.95" customHeight="1" x14ac:dyDescent="0.2">
      <c r="A1551" s="282" t="s">
        <v>1276</v>
      </c>
      <c r="B1551" s="282"/>
      <c r="C1551" s="283" t="s">
        <v>4529</v>
      </c>
      <c r="D1551" s="282" t="s">
        <v>1246</v>
      </c>
      <c r="E1551" s="282" t="s">
        <v>4530</v>
      </c>
      <c r="F1551" s="282" t="s">
        <v>1278</v>
      </c>
      <c r="G1551" s="284" t="s">
        <v>52</v>
      </c>
      <c r="H1551" s="283" t="s">
        <v>1305</v>
      </c>
      <c r="I1551" s="283" t="s">
        <v>1529</v>
      </c>
      <c r="J1551" s="779">
        <v>3.25</v>
      </c>
      <c r="K1551" s="780"/>
    </row>
    <row r="1552" spans="1:11" ht="21.95" customHeight="1" x14ac:dyDescent="0.2">
      <c r="A1552" s="282" t="s">
        <v>1276</v>
      </c>
      <c r="B1552" s="282"/>
      <c r="C1552" s="283" t="s">
        <v>4531</v>
      </c>
      <c r="D1552" s="282" t="s">
        <v>1246</v>
      </c>
      <c r="E1552" s="282" t="s">
        <v>4532</v>
      </c>
      <c r="F1552" s="282" t="s">
        <v>1278</v>
      </c>
      <c r="G1552" s="284" t="s">
        <v>52</v>
      </c>
      <c r="H1552" s="283" t="s">
        <v>1417</v>
      </c>
      <c r="I1552" s="283" t="s">
        <v>4533</v>
      </c>
      <c r="J1552" s="779">
        <v>36.979999999999997</v>
      </c>
      <c r="K1552" s="780"/>
    </row>
    <row r="1553" spans="1:11" ht="21.95" customHeight="1" x14ac:dyDescent="0.2">
      <c r="A1553" s="282" t="s">
        <v>1276</v>
      </c>
      <c r="B1553" s="282"/>
      <c r="C1553" s="283" t="s">
        <v>4534</v>
      </c>
      <c r="D1553" s="282" t="s">
        <v>1246</v>
      </c>
      <c r="E1553" s="282" t="s">
        <v>4535</v>
      </c>
      <c r="F1553" s="282" t="s">
        <v>1278</v>
      </c>
      <c r="G1553" s="284" t="s">
        <v>52</v>
      </c>
      <c r="H1553" s="283" t="s">
        <v>1985</v>
      </c>
      <c r="I1553" s="283" t="s">
        <v>4536</v>
      </c>
      <c r="J1553" s="779">
        <v>67.92</v>
      </c>
      <c r="K1553" s="780"/>
    </row>
    <row r="1554" spans="1:11" ht="21.95" customHeight="1" x14ac:dyDescent="0.2">
      <c r="A1554" s="282" t="s">
        <v>1276</v>
      </c>
      <c r="B1554" s="282"/>
      <c r="C1554" s="283" t="s">
        <v>4537</v>
      </c>
      <c r="D1554" s="282" t="s">
        <v>1246</v>
      </c>
      <c r="E1554" s="282" t="s">
        <v>4538</v>
      </c>
      <c r="F1554" s="282" t="s">
        <v>1278</v>
      </c>
      <c r="G1554" s="284" t="s">
        <v>52</v>
      </c>
      <c r="H1554" s="283" t="s">
        <v>1262</v>
      </c>
      <c r="I1554" s="283" t="s">
        <v>4539</v>
      </c>
      <c r="J1554" s="779">
        <v>1364.68</v>
      </c>
      <c r="K1554" s="780"/>
    </row>
    <row r="1555" spans="1:11" ht="21.95" customHeight="1" x14ac:dyDescent="0.2">
      <c r="A1555" s="282" t="s">
        <v>1276</v>
      </c>
      <c r="B1555" s="282"/>
      <c r="C1555" s="283" t="s">
        <v>4540</v>
      </c>
      <c r="D1555" s="282" t="s">
        <v>1250</v>
      </c>
      <c r="E1555" s="282" t="s">
        <v>4541</v>
      </c>
      <c r="F1555" s="282" t="s">
        <v>1278</v>
      </c>
      <c r="G1555" s="284" t="s">
        <v>52</v>
      </c>
      <c r="H1555" s="283" t="s">
        <v>1262</v>
      </c>
      <c r="I1555" s="283" t="s">
        <v>4542</v>
      </c>
      <c r="J1555" s="779">
        <v>1115.74</v>
      </c>
      <c r="K1555" s="780"/>
    </row>
    <row r="1556" spans="1:11" ht="21.95" customHeight="1" x14ac:dyDescent="0.2">
      <c r="A1556" s="282" t="s">
        <v>1276</v>
      </c>
      <c r="B1556" s="282"/>
      <c r="C1556" s="283" t="s">
        <v>1551</v>
      </c>
      <c r="D1556" s="282" t="s">
        <v>1250</v>
      </c>
      <c r="E1556" s="282" t="s">
        <v>1552</v>
      </c>
      <c r="F1556" s="282" t="s">
        <v>1278</v>
      </c>
      <c r="G1556" s="284" t="s">
        <v>71</v>
      </c>
      <c r="H1556" s="283" t="s">
        <v>1984</v>
      </c>
      <c r="I1556" s="283" t="s">
        <v>1554</v>
      </c>
      <c r="J1556" s="779">
        <v>39.24</v>
      </c>
      <c r="K1556" s="780"/>
    </row>
    <row r="1557" spans="1:11" ht="33" customHeight="1" x14ac:dyDescent="0.2">
      <c r="A1557" s="282" t="s">
        <v>1276</v>
      </c>
      <c r="B1557" s="282"/>
      <c r="C1557" s="283" t="s">
        <v>4543</v>
      </c>
      <c r="D1557" s="282" t="s">
        <v>1250</v>
      </c>
      <c r="E1557" s="282" t="s">
        <v>4544</v>
      </c>
      <c r="F1557" s="282" t="s">
        <v>1278</v>
      </c>
      <c r="G1557" s="284" t="s">
        <v>52</v>
      </c>
      <c r="H1557" s="283" t="s">
        <v>1985</v>
      </c>
      <c r="I1557" s="283" t="s">
        <v>4545</v>
      </c>
      <c r="J1557" s="779">
        <v>35.1</v>
      </c>
      <c r="K1557" s="780"/>
    </row>
    <row r="1558" spans="1:11" ht="33" customHeight="1" x14ac:dyDescent="0.2">
      <c r="A1558" s="282" t="s">
        <v>1276</v>
      </c>
      <c r="B1558" s="282"/>
      <c r="C1558" s="283" t="s">
        <v>4546</v>
      </c>
      <c r="D1558" s="282" t="s">
        <v>1250</v>
      </c>
      <c r="E1558" s="282" t="s">
        <v>4547</v>
      </c>
      <c r="F1558" s="282" t="s">
        <v>1278</v>
      </c>
      <c r="G1558" s="284" t="s">
        <v>52</v>
      </c>
      <c r="H1558" s="283" t="s">
        <v>1262</v>
      </c>
      <c r="I1558" s="283" t="s">
        <v>1883</v>
      </c>
      <c r="J1558" s="779">
        <v>6.72</v>
      </c>
      <c r="K1558" s="780"/>
    </row>
    <row r="1559" spans="1:11" ht="33" customHeight="1" x14ac:dyDescent="0.2">
      <c r="A1559" s="282" t="s">
        <v>1276</v>
      </c>
      <c r="B1559" s="282"/>
      <c r="C1559" s="283" t="s">
        <v>4548</v>
      </c>
      <c r="D1559" s="282" t="s">
        <v>1250</v>
      </c>
      <c r="E1559" s="282" t="s">
        <v>4549</v>
      </c>
      <c r="F1559" s="282" t="s">
        <v>1278</v>
      </c>
      <c r="G1559" s="284" t="s">
        <v>52</v>
      </c>
      <c r="H1559" s="283" t="s">
        <v>1262</v>
      </c>
      <c r="I1559" s="283" t="s">
        <v>4550</v>
      </c>
      <c r="J1559" s="779">
        <v>7.85</v>
      </c>
      <c r="K1559" s="780"/>
    </row>
    <row r="1560" spans="1:11" ht="21.95" customHeight="1" x14ac:dyDescent="0.2">
      <c r="A1560" s="282" t="s">
        <v>1276</v>
      </c>
      <c r="B1560" s="282"/>
      <c r="C1560" s="283" t="s">
        <v>4551</v>
      </c>
      <c r="D1560" s="282" t="s">
        <v>1246</v>
      </c>
      <c r="E1560" s="282" t="s">
        <v>4552</v>
      </c>
      <c r="F1560" s="282" t="s">
        <v>1278</v>
      </c>
      <c r="G1560" s="284" t="s">
        <v>52</v>
      </c>
      <c r="H1560" s="283" t="s">
        <v>1417</v>
      </c>
      <c r="I1560" s="283" t="s">
        <v>1814</v>
      </c>
      <c r="J1560" s="779">
        <v>13.12</v>
      </c>
      <c r="K1560" s="780"/>
    </row>
    <row r="1561" spans="1:11" ht="21.95" customHeight="1" x14ac:dyDescent="0.2">
      <c r="A1561" s="282" t="s">
        <v>1276</v>
      </c>
      <c r="B1561" s="282"/>
      <c r="C1561" s="283" t="s">
        <v>4553</v>
      </c>
      <c r="D1561" s="282" t="s">
        <v>1246</v>
      </c>
      <c r="E1561" s="282" t="s">
        <v>4554</v>
      </c>
      <c r="F1561" s="282" t="s">
        <v>1278</v>
      </c>
      <c r="G1561" s="284" t="s">
        <v>52</v>
      </c>
      <c r="H1561" s="283" t="s">
        <v>1984</v>
      </c>
      <c r="I1561" s="283" t="s">
        <v>4555</v>
      </c>
      <c r="J1561" s="779">
        <v>121.11</v>
      </c>
      <c r="K1561" s="780"/>
    </row>
    <row r="1562" spans="1:11" ht="21.95" customHeight="1" x14ac:dyDescent="0.2">
      <c r="A1562" s="282" t="s">
        <v>1276</v>
      </c>
      <c r="B1562" s="282"/>
      <c r="C1562" s="283" t="s">
        <v>4556</v>
      </c>
      <c r="D1562" s="282" t="s">
        <v>1250</v>
      </c>
      <c r="E1562" s="282" t="s">
        <v>4557</v>
      </c>
      <c r="F1562" s="282" t="s">
        <v>1278</v>
      </c>
      <c r="G1562" s="284" t="s">
        <v>75</v>
      </c>
      <c r="H1562" s="283" t="s">
        <v>1359</v>
      </c>
      <c r="I1562" s="283" t="s">
        <v>4558</v>
      </c>
      <c r="J1562" s="779">
        <v>146.30000000000001</v>
      </c>
      <c r="K1562" s="780"/>
    </row>
    <row r="1563" spans="1:11" ht="21.95" customHeight="1" x14ac:dyDescent="0.2">
      <c r="A1563" s="282" t="s">
        <v>1276</v>
      </c>
      <c r="B1563" s="282"/>
      <c r="C1563" s="283" t="s">
        <v>4559</v>
      </c>
      <c r="D1563" s="282" t="s">
        <v>1250</v>
      </c>
      <c r="E1563" s="282" t="s">
        <v>4560</v>
      </c>
      <c r="F1563" s="282" t="s">
        <v>1278</v>
      </c>
      <c r="G1563" s="284" t="s">
        <v>75</v>
      </c>
      <c r="H1563" s="283" t="s">
        <v>1323</v>
      </c>
      <c r="I1563" s="283" t="s">
        <v>4561</v>
      </c>
      <c r="J1563" s="779">
        <v>509.5</v>
      </c>
      <c r="K1563" s="780"/>
    </row>
    <row r="1564" spans="1:11" ht="21.95" customHeight="1" x14ac:dyDescent="0.2">
      <c r="A1564" s="282" t="s">
        <v>1276</v>
      </c>
      <c r="B1564" s="282"/>
      <c r="C1564" s="283" t="s">
        <v>4562</v>
      </c>
      <c r="D1564" s="282" t="s">
        <v>1246</v>
      </c>
      <c r="E1564" s="282" t="s">
        <v>4563</v>
      </c>
      <c r="F1564" s="282" t="s">
        <v>1278</v>
      </c>
      <c r="G1564" s="284" t="s">
        <v>52</v>
      </c>
      <c r="H1564" s="283" t="s">
        <v>1294</v>
      </c>
      <c r="I1564" s="283" t="s">
        <v>4564</v>
      </c>
      <c r="J1564" s="779">
        <v>73.760000000000005</v>
      </c>
      <c r="K1564" s="780"/>
    </row>
    <row r="1565" spans="1:11" ht="33" customHeight="1" x14ac:dyDescent="0.2">
      <c r="A1565" s="282" t="s">
        <v>1276</v>
      </c>
      <c r="B1565" s="282"/>
      <c r="C1565" s="283" t="s">
        <v>4565</v>
      </c>
      <c r="D1565" s="282" t="s">
        <v>1250</v>
      </c>
      <c r="E1565" s="282" t="s">
        <v>4566</v>
      </c>
      <c r="F1565" s="282" t="s">
        <v>1278</v>
      </c>
      <c r="G1565" s="284" t="s">
        <v>52</v>
      </c>
      <c r="H1565" s="283" t="s">
        <v>1294</v>
      </c>
      <c r="I1565" s="283" t="s">
        <v>4567</v>
      </c>
      <c r="J1565" s="779">
        <v>216.24</v>
      </c>
      <c r="K1565" s="780"/>
    </row>
    <row r="1566" spans="1:11" ht="21.95" customHeight="1" x14ac:dyDescent="0.2">
      <c r="A1566" s="282" t="s">
        <v>1276</v>
      </c>
      <c r="B1566" s="282"/>
      <c r="C1566" s="283" t="s">
        <v>1937</v>
      </c>
      <c r="D1566" s="282" t="s">
        <v>1246</v>
      </c>
      <c r="E1566" s="282" t="s">
        <v>605</v>
      </c>
      <c r="F1566" s="282" t="s">
        <v>1278</v>
      </c>
      <c r="G1566" s="284" t="s">
        <v>75</v>
      </c>
      <c r="H1566" s="283" t="s">
        <v>1417</v>
      </c>
      <c r="I1566" s="283" t="s">
        <v>1938</v>
      </c>
      <c r="J1566" s="779">
        <v>9.1</v>
      </c>
      <c r="K1566" s="780"/>
    </row>
    <row r="1567" spans="1:11" ht="21.95" customHeight="1" x14ac:dyDescent="0.2">
      <c r="A1567" s="282" t="s">
        <v>1276</v>
      </c>
      <c r="B1567" s="282"/>
      <c r="C1567" s="283" t="s">
        <v>4568</v>
      </c>
      <c r="D1567" s="282" t="s">
        <v>1246</v>
      </c>
      <c r="E1567" s="282" t="s">
        <v>4569</v>
      </c>
      <c r="F1567" s="282" t="s">
        <v>1278</v>
      </c>
      <c r="G1567" s="284" t="s">
        <v>52</v>
      </c>
      <c r="H1567" s="283" t="s">
        <v>1262</v>
      </c>
      <c r="I1567" s="283" t="s">
        <v>2029</v>
      </c>
      <c r="J1567" s="779">
        <v>3.2</v>
      </c>
      <c r="K1567" s="780"/>
    </row>
    <row r="1568" spans="1:11" ht="21.95" customHeight="1" x14ac:dyDescent="0.2">
      <c r="A1568" s="282" t="s">
        <v>1276</v>
      </c>
      <c r="B1568" s="282"/>
      <c r="C1568" s="283" t="s">
        <v>4570</v>
      </c>
      <c r="D1568" s="282" t="s">
        <v>1246</v>
      </c>
      <c r="E1568" s="282" t="s">
        <v>4571</v>
      </c>
      <c r="F1568" s="282" t="s">
        <v>1278</v>
      </c>
      <c r="G1568" s="284" t="s">
        <v>75</v>
      </c>
      <c r="H1568" s="283" t="s">
        <v>1831</v>
      </c>
      <c r="I1568" s="283" t="s">
        <v>4572</v>
      </c>
      <c r="J1568" s="779">
        <v>130.80000000000001</v>
      </c>
      <c r="K1568" s="780"/>
    </row>
    <row r="1569" spans="1:11" ht="21.95" customHeight="1" x14ac:dyDescent="0.2">
      <c r="A1569" s="282" t="s">
        <v>1276</v>
      </c>
      <c r="B1569" s="282"/>
      <c r="C1569" s="283" t="s">
        <v>4573</v>
      </c>
      <c r="D1569" s="282" t="s">
        <v>1246</v>
      </c>
      <c r="E1569" s="282" t="s">
        <v>4574</v>
      </c>
      <c r="F1569" s="282" t="s">
        <v>1278</v>
      </c>
      <c r="G1569" s="284" t="s">
        <v>52</v>
      </c>
      <c r="H1569" s="283" t="s">
        <v>1984</v>
      </c>
      <c r="I1569" s="283" t="s">
        <v>4575</v>
      </c>
      <c r="J1569" s="779">
        <v>36.69</v>
      </c>
      <c r="K1569" s="780"/>
    </row>
    <row r="1570" spans="1:11" ht="21.95" customHeight="1" x14ac:dyDescent="0.2">
      <c r="A1570" s="282" t="s">
        <v>1276</v>
      </c>
      <c r="B1570" s="282"/>
      <c r="C1570" s="283" t="s">
        <v>4576</v>
      </c>
      <c r="D1570" s="282" t="s">
        <v>1246</v>
      </c>
      <c r="E1570" s="282" t="s">
        <v>4577</v>
      </c>
      <c r="F1570" s="282" t="s">
        <v>1278</v>
      </c>
      <c r="G1570" s="284" t="s">
        <v>52</v>
      </c>
      <c r="H1570" s="283" t="s">
        <v>1984</v>
      </c>
      <c r="I1570" s="283" t="s">
        <v>4578</v>
      </c>
      <c r="J1570" s="779">
        <v>36.6</v>
      </c>
      <c r="K1570" s="780"/>
    </row>
    <row r="1571" spans="1:11" ht="21.95" customHeight="1" x14ac:dyDescent="0.2">
      <c r="A1571" s="282" t="s">
        <v>1276</v>
      </c>
      <c r="B1571" s="282"/>
      <c r="C1571" s="283" t="s">
        <v>4579</v>
      </c>
      <c r="D1571" s="282" t="s">
        <v>1246</v>
      </c>
      <c r="E1571" s="282" t="s">
        <v>4580</v>
      </c>
      <c r="F1571" s="282" t="s">
        <v>1278</v>
      </c>
      <c r="G1571" s="284" t="s">
        <v>52</v>
      </c>
      <c r="H1571" s="283" t="s">
        <v>1984</v>
      </c>
      <c r="I1571" s="283" t="s">
        <v>4581</v>
      </c>
      <c r="J1571" s="779">
        <v>111</v>
      </c>
      <c r="K1571" s="780"/>
    </row>
    <row r="1572" spans="1:11" ht="21.95" customHeight="1" x14ac:dyDescent="0.2">
      <c r="A1572" s="282" t="s">
        <v>1276</v>
      </c>
      <c r="B1572" s="282"/>
      <c r="C1572" s="283" t="s">
        <v>4582</v>
      </c>
      <c r="D1572" s="282" t="s">
        <v>1246</v>
      </c>
      <c r="E1572" s="282" t="s">
        <v>4583</v>
      </c>
      <c r="F1572" s="282" t="s">
        <v>1278</v>
      </c>
      <c r="G1572" s="284" t="s">
        <v>52</v>
      </c>
      <c r="H1572" s="283" t="s">
        <v>1984</v>
      </c>
      <c r="I1572" s="283" t="s">
        <v>4584</v>
      </c>
      <c r="J1572" s="779">
        <v>16.68</v>
      </c>
      <c r="K1572" s="780"/>
    </row>
    <row r="1573" spans="1:11" ht="21.95" customHeight="1" x14ac:dyDescent="0.2">
      <c r="A1573" s="282" t="s">
        <v>1276</v>
      </c>
      <c r="B1573" s="282"/>
      <c r="C1573" s="283" t="s">
        <v>4585</v>
      </c>
      <c r="D1573" s="282" t="s">
        <v>1250</v>
      </c>
      <c r="E1573" s="282" t="s">
        <v>4586</v>
      </c>
      <c r="F1573" s="282" t="s">
        <v>1278</v>
      </c>
      <c r="G1573" s="284" t="s">
        <v>75</v>
      </c>
      <c r="H1573" s="283" t="s">
        <v>1984</v>
      </c>
      <c r="I1573" s="283" t="s">
        <v>4587</v>
      </c>
      <c r="J1573" s="779">
        <v>2.4</v>
      </c>
      <c r="K1573" s="780"/>
    </row>
    <row r="1574" spans="1:11" ht="21.95" customHeight="1" x14ac:dyDescent="0.2">
      <c r="A1574" s="282" t="s">
        <v>1276</v>
      </c>
      <c r="B1574" s="282"/>
      <c r="C1574" s="283" t="s">
        <v>4588</v>
      </c>
      <c r="D1574" s="282" t="s">
        <v>1250</v>
      </c>
      <c r="E1574" s="282" t="s">
        <v>4589</v>
      </c>
      <c r="F1574" s="282" t="s">
        <v>1278</v>
      </c>
      <c r="G1574" s="284" t="s">
        <v>75</v>
      </c>
      <c r="H1574" s="283" t="s">
        <v>1984</v>
      </c>
      <c r="I1574" s="283" t="s">
        <v>4590</v>
      </c>
      <c r="J1574" s="779">
        <v>4.7699999999999996</v>
      </c>
      <c r="K1574" s="780"/>
    </row>
    <row r="1575" spans="1:11" ht="21.95" customHeight="1" x14ac:dyDescent="0.2">
      <c r="A1575" s="282" t="s">
        <v>1276</v>
      </c>
      <c r="B1575" s="282"/>
      <c r="C1575" s="283" t="s">
        <v>4591</v>
      </c>
      <c r="D1575" s="282" t="s">
        <v>1246</v>
      </c>
      <c r="E1575" s="282" t="s">
        <v>4592</v>
      </c>
      <c r="F1575" s="282" t="s">
        <v>1278</v>
      </c>
      <c r="G1575" s="284" t="s">
        <v>52</v>
      </c>
      <c r="H1575" s="283" t="s">
        <v>1985</v>
      </c>
      <c r="I1575" s="283" t="s">
        <v>4593</v>
      </c>
      <c r="J1575" s="779">
        <v>1106.22</v>
      </c>
      <c r="K1575" s="780"/>
    </row>
    <row r="1576" spans="1:11" ht="21.95" customHeight="1" x14ac:dyDescent="0.2">
      <c r="A1576" s="282" t="s">
        <v>1276</v>
      </c>
      <c r="B1576" s="282"/>
      <c r="C1576" s="283" t="s">
        <v>4594</v>
      </c>
      <c r="D1576" s="282" t="s">
        <v>1250</v>
      </c>
      <c r="E1576" s="282" t="s">
        <v>4595</v>
      </c>
      <c r="F1576" s="282" t="s">
        <v>1278</v>
      </c>
      <c r="G1576" s="284" t="s">
        <v>52</v>
      </c>
      <c r="H1576" s="283" t="s">
        <v>1290</v>
      </c>
      <c r="I1576" s="283" t="s">
        <v>4596</v>
      </c>
      <c r="J1576" s="779">
        <v>19.16</v>
      </c>
      <c r="K1576" s="780"/>
    </row>
    <row r="1577" spans="1:11" ht="21.95" customHeight="1" x14ac:dyDescent="0.2">
      <c r="A1577" s="282" t="s">
        <v>1276</v>
      </c>
      <c r="B1577" s="282"/>
      <c r="C1577" s="283" t="s">
        <v>4597</v>
      </c>
      <c r="D1577" s="282" t="s">
        <v>1250</v>
      </c>
      <c r="E1577" s="282" t="s">
        <v>4598</v>
      </c>
      <c r="F1577" s="282" t="s">
        <v>1278</v>
      </c>
      <c r="G1577" s="284" t="s">
        <v>52</v>
      </c>
      <c r="H1577" s="283" t="s">
        <v>1290</v>
      </c>
      <c r="I1577" s="283" t="s">
        <v>4599</v>
      </c>
      <c r="J1577" s="779">
        <v>23.68</v>
      </c>
      <c r="K1577" s="780"/>
    </row>
    <row r="1578" spans="1:11" ht="33" customHeight="1" x14ac:dyDescent="0.2">
      <c r="A1578" s="282" t="s">
        <v>1276</v>
      </c>
      <c r="B1578" s="282"/>
      <c r="C1578" s="283" t="s">
        <v>4600</v>
      </c>
      <c r="D1578" s="282" t="s">
        <v>1250</v>
      </c>
      <c r="E1578" s="282" t="s">
        <v>4601</v>
      </c>
      <c r="F1578" s="282" t="s">
        <v>1278</v>
      </c>
      <c r="G1578" s="284" t="s">
        <v>52</v>
      </c>
      <c r="H1578" s="283" t="s">
        <v>1262</v>
      </c>
      <c r="I1578" s="283" t="s">
        <v>2380</v>
      </c>
      <c r="J1578" s="779">
        <v>1.55</v>
      </c>
      <c r="K1578" s="780"/>
    </row>
    <row r="1579" spans="1:11" ht="21.95" customHeight="1" x14ac:dyDescent="0.2">
      <c r="A1579" s="282" t="s">
        <v>1276</v>
      </c>
      <c r="B1579" s="282"/>
      <c r="C1579" s="283" t="s">
        <v>4602</v>
      </c>
      <c r="D1579" s="282" t="s">
        <v>1246</v>
      </c>
      <c r="E1579" s="282" t="s">
        <v>4603</v>
      </c>
      <c r="F1579" s="282" t="s">
        <v>1278</v>
      </c>
      <c r="G1579" s="284" t="s">
        <v>52</v>
      </c>
      <c r="H1579" s="283" t="s">
        <v>1417</v>
      </c>
      <c r="I1579" s="283" t="s">
        <v>4604</v>
      </c>
      <c r="J1579" s="779">
        <v>44.12</v>
      </c>
      <c r="K1579" s="780"/>
    </row>
    <row r="1580" spans="1:11" ht="21.95" customHeight="1" x14ac:dyDescent="0.2">
      <c r="A1580" s="282" t="s">
        <v>1276</v>
      </c>
      <c r="B1580" s="282"/>
      <c r="C1580" s="283" t="s">
        <v>4437</v>
      </c>
      <c r="D1580" s="282" t="s">
        <v>1246</v>
      </c>
      <c r="E1580" s="282" t="s">
        <v>3605</v>
      </c>
      <c r="F1580" s="282" t="s">
        <v>1278</v>
      </c>
      <c r="G1580" s="284" t="s">
        <v>75</v>
      </c>
      <c r="H1580" s="283" t="s">
        <v>1254</v>
      </c>
      <c r="I1580" s="283" t="s">
        <v>4438</v>
      </c>
      <c r="J1580" s="779">
        <v>4045.6</v>
      </c>
      <c r="K1580" s="780"/>
    </row>
    <row r="1581" spans="1:11" ht="21.95" customHeight="1" x14ac:dyDescent="0.2">
      <c r="A1581" s="282" t="s">
        <v>1276</v>
      </c>
      <c r="B1581" s="282"/>
      <c r="C1581" s="283" t="s">
        <v>4605</v>
      </c>
      <c r="D1581" s="282" t="s">
        <v>1250</v>
      </c>
      <c r="E1581" s="282" t="s">
        <v>4606</v>
      </c>
      <c r="F1581" s="282" t="s">
        <v>1278</v>
      </c>
      <c r="G1581" s="284" t="s">
        <v>52</v>
      </c>
      <c r="H1581" s="283" t="s">
        <v>1290</v>
      </c>
      <c r="I1581" s="283" t="s">
        <v>4607</v>
      </c>
      <c r="J1581" s="779">
        <v>1543.08</v>
      </c>
      <c r="K1581" s="780"/>
    </row>
    <row r="1582" spans="1:11" ht="21.95" customHeight="1" x14ac:dyDescent="0.2">
      <c r="A1582" s="282" t="s">
        <v>1276</v>
      </c>
      <c r="B1582" s="282"/>
      <c r="C1582" s="283" t="s">
        <v>4608</v>
      </c>
      <c r="D1582" s="282" t="s">
        <v>1250</v>
      </c>
      <c r="E1582" s="282" t="s">
        <v>4609</v>
      </c>
      <c r="F1582" s="282" t="s">
        <v>1278</v>
      </c>
      <c r="G1582" s="284" t="s">
        <v>52</v>
      </c>
      <c r="H1582" s="283" t="s">
        <v>1262</v>
      </c>
      <c r="I1582" s="283" t="s">
        <v>4610</v>
      </c>
      <c r="J1582" s="779">
        <v>12</v>
      </c>
      <c r="K1582" s="780"/>
    </row>
    <row r="1583" spans="1:11" ht="21.95" customHeight="1" x14ac:dyDescent="0.2">
      <c r="A1583" s="282" t="s">
        <v>1276</v>
      </c>
      <c r="B1583" s="282"/>
      <c r="C1583" s="283" t="s">
        <v>4611</v>
      </c>
      <c r="D1583" s="282" t="s">
        <v>1250</v>
      </c>
      <c r="E1583" s="282" t="s">
        <v>4612</v>
      </c>
      <c r="F1583" s="282" t="s">
        <v>1278</v>
      </c>
      <c r="G1583" s="284" t="s">
        <v>52</v>
      </c>
      <c r="H1583" s="283" t="s">
        <v>4475</v>
      </c>
      <c r="I1583" s="283" t="s">
        <v>4613</v>
      </c>
      <c r="J1583" s="779">
        <v>204.8</v>
      </c>
      <c r="K1583" s="780"/>
    </row>
    <row r="1584" spans="1:11" ht="21.95" customHeight="1" x14ac:dyDescent="0.2">
      <c r="A1584" s="282" t="s">
        <v>1276</v>
      </c>
      <c r="B1584" s="282"/>
      <c r="C1584" s="283" t="s">
        <v>4608</v>
      </c>
      <c r="D1584" s="282" t="s">
        <v>1250</v>
      </c>
      <c r="E1584" s="282" t="s">
        <v>4609</v>
      </c>
      <c r="F1584" s="282" t="s">
        <v>1278</v>
      </c>
      <c r="G1584" s="284" t="s">
        <v>52</v>
      </c>
      <c r="H1584" s="283" t="s">
        <v>1290</v>
      </c>
      <c r="I1584" s="283" t="s">
        <v>4610</v>
      </c>
      <c r="J1584" s="779">
        <v>48</v>
      </c>
      <c r="K1584" s="780"/>
    </row>
    <row r="1585" spans="1:11" ht="33" customHeight="1" x14ac:dyDescent="0.2">
      <c r="A1585" s="282" t="s">
        <v>1276</v>
      </c>
      <c r="B1585" s="282"/>
      <c r="C1585" s="283" t="s">
        <v>4614</v>
      </c>
      <c r="D1585" s="282" t="s">
        <v>1250</v>
      </c>
      <c r="E1585" s="282" t="s">
        <v>4615</v>
      </c>
      <c r="F1585" s="282" t="s">
        <v>1278</v>
      </c>
      <c r="G1585" s="284" t="s">
        <v>52</v>
      </c>
      <c r="H1585" s="283" t="s">
        <v>1262</v>
      </c>
      <c r="I1585" s="283" t="s">
        <v>4616</v>
      </c>
      <c r="J1585" s="779">
        <v>14299.12</v>
      </c>
      <c r="K1585" s="780"/>
    </row>
    <row r="1586" spans="1:11" ht="33" customHeight="1" thickBot="1" x14ac:dyDescent="0.25">
      <c r="A1586" s="282" t="s">
        <v>1276</v>
      </c>
      <c r="B1586" s="282"/>
      <c r="C1586" s="283" t="s">
        <v>4617</v>
      </c>
      <c r="D1586" s="282" t="s">
        <v>1250</v>
      </c>
      <c r="E1586" s="282" t="s">
        <v>4618</v>
      </c>
      <c r="F1586" s="282" t="s">
        <v>1278</v>
      </c>
      <c r="G1586" s="284" t="s">
        <v>52</v>
      </c>
      <c r="H1586" s="283" t="s">
        <v>1262</v>
      </c>
      <c r="I1586" s="283" t="s">
        <v>4619</v>
      </c>
      <c r="J1586" s="770">
        <v>2.69</v>
      </c>
      <c r="K1586" s="771"/>
    </row>
    <row r="1587" spans="1:11" ht="0.95" customHeight="1" thickTop="1" x14ac:dyDescent="0.2">
      <c r="A1587" s="281"/>
      <c r="B1587" s="281"/>
      <c r="C1587" s="281"/>
      <c r="D1587" s="281"/>
      <c r="E1587" s="281"/>
      <c r="F1587" s="281"/>
      <c r="G1587" s="281"/>
      <c r="H1587" s="281"/>
      <c r="I1587" s="281"/>
      <c r="J1587" s="421"/>
      <c r="K1587" s="421"/>
    </row>
    <row r="1588" spans="1:11" ht="18" customHeight="1" x14ac:dyDescent="0.2">
      <c r="A1588" s="272"/>
      <c r="B1588" s="272" t="s">
        <v>54</v>
      </c>
      <c r="C1588" s="273" t="s">
        <v>1239</v>
      </c>
      <c r="D1588" s="272" t="s">
        <v>1240</v>
      </c>
      <c r="E1588" s="272" t="s">
        <v>1241</v>
      </c>
      <c r="F1588" s="272" t="s">
        <v>1242</v>
      </c>
      <c r="G1588" s="274" t="s">
        <v>60</v>
      </c>
      <c r="H1588" s="273" t="s">
        <v>58</v>
      </c>
      <c r="I1588" s="273" t="s">
        <v>1243</v>
      </c>
      <c r="J1588" s="775" t="s">
        <v>196</v>
      </c>
      <c r="K1588" s="776"/>
    </row>
    <row r="1589" spans="1:11" ht="21.95" customHeight="1" x14ac:dyDescent="0.2">
      <c r="A1589" s="275" t="s">
        <v>1244</v>
      </c>
      <c r="B1589" s="275" t="s">
        <v>4620</v>
      </c>
      <c r="C1589" s="276" t="s">
        <v>1992</v>
      </c>
      <c r="D1589" s="275" t="s">
        <v>1246</v>
      </c>
      <c r="E1589" s="275" t="s">
        <v>426</v>
      </c>
      <c r="F1589" s="275" t="s">
        <v>1936</v>
      </c>
      <c r="G1589" s="277" t="s">
        <v>52</v>
      </c>
      <c r="H1589" s="276">
        <v>1</v>
      </c>
      <c r="I1589" s="276" t="s">
        <v>1993</v>
      </c>
      <c r="J1589" s="777" t="s">
        <v>1993</v>
      </c>
      <c r="K1589" s="778"/>
    </row>
    <row r="1590" spans="1:11" ht="21.95" customHeight="1" x14ac:dyDescent="0.2">
      <c r="A1590" s="278" t="s">
        <v>1248</v>
      </c>
      <c r="B1590" s="278"/>
      <c r="C1590" s="279" t="s">
        <v>1958</v>
      </c>
      <c r="D1590" s="278" t="s">
        <v>1250</v>
      </c>
      <c r="E1590" s="278" t="s">
        <v>1959</v>
      </c>
      <c r="F1590" s="278" t="s">
        <v>1252</v>
      </c>
      <c r="G1590" s="280" t="s">
        <v>1253</v>
      </c>
      <c r="H1590" s="279" t="s">
        <v>1538</v>
      </c>
      <c r="I1590" s="279" t="s">
        <v>1960</v>
      </c>
      <c r="J1590" s="781">
        <v>4.8</v>
      </c>
      <c r="K1590" s="782"/>
    </row>
    <row r="1591" spans="1:11" ht="21.95" customHeight="1" x14ac:dyDescent="0.2">
      <c r="A1591" s="278" t="s">
        <v>1248</v>
      </c>
      <c r="B1591" s="278"/>
      <c r="C1591" s="279" t="s">
        <v>1864</v>
      </c>
      <c r="D1591" s="278" t="s">
        <v>1250</v>
      </c>
      <c r="E1591" s="278" t="s">
        <v>1865</v>
      </c>
      <c r="F1591" s="278" t="s">
        <v>1252</v>
      </c>
      <c r="G1591" s="280" t="s">
        <v>1253</v>
      </c>
      <c r="H1591" s="279" t="s">
        <v>1538</v>
      </c>
      <c r="I1591" s="279" t="s">
        <v>1866</v>
      </c>
      <c r="J1591" s="781">
        <v>5.89</v>
      </c>
      <c r="K1591" s="782"/>
    </row>
    <row r="1592" spans="1:11" ht="21.95" customHeight="1" thickBot="1" x14ac:dyDescent="0.25">
      <c r="A1592" s="282" t="s">
        <v>1276</v>
      </c>
      <c r="B1592" s="282"/>
      <c r="C1592" s="283" t="s">
        <v>1994</v>
      </c>
      <c r="D1592" s="282" t="s">
        <v>1246</v>
      </c>
      <c r="E1592" s="282" t="s">
        <v>891</v>
      </c>
      <c r="F1592" s="282" t="s">
        <v>1278</v>
      </c>
      <c r="G1592" s="284" t="s">
        <v>52</v>
      </c>
      <c r="H1592" s="283" t="s">
        <v>1555</v>
      </c>
      <c r="I1592" s="283" t="s">
        <v>1995</v>
      </c>
      <c r="J1592" s="770">
        <v>61.87</v>
      </c>
      <c r="K1592" s="771"/>
    </row>
    <row r="1593" spans="1:11" ht="0.95" customHeight="1" thickTop="1" x14ac:dyDescent="0.2">
      <c r="A1593" s="281"/>
      <c r="B1593" s="281"/>
      <c r="C1593" s="281"/>
      <c r="D1593" s="281"/>
      <c r="E1593" s="281"/>
      <c r="F1593" s="281"/>
      <c r="G1593" s="281"/>
      <c r="H1593" s="281"/>
      <c r="I1593" s="281"/>
      <c r="J1593" s="421"/>
      <c r="K1593" s="421"/>
    </row>
    <row r="1594" spans="1:11" ht="18" customHeight="1" x14ac:dyDescent="0.2">
      <c r="A1594" s="272"/>
      <c r="B1594" s="272" t="s">
        <v>54</v>
      </c>
      <c r="C1594" s="273" t="s">
        <v>1239</v>
      </c>
      <c r="D1594" s="272" t="s">
        <v>1240</v>
      </c>
      <c r="E1594" s="272" t="s">
        <v>1241</v>
      </c>
      <c r="F1594" s="272" t="s">
        <v>1242</v>
      </c>
      <c r="G1594" s="274" t="s">
        <v>60</v>
      </c>
      <c r="H1594" s="273" t="s">
        <v>58</v>
      </c>
      <c r="I1594" s="273" t="s">
        <v>1243</v>
      </c>
      <c r="J1594" s="775" t="s">
        <v>196</v>
      </c>
      <c r="K1594" s="776"/>
    </row>
    <row r="1595" spans="1:11" ht="33" customHeight="1" x14ac:dyDescent="0.2">
      <c r="A1595" s="275" t="s">
        <v>1244</v>
      </c>
      <c r="B1595" s="275" t="s">
        <v>4621</v>
      </c>
      <c r="C1595" s="276" t="s">
        <v>1996</v>
      </c>
      <c r="D1595" s="275" t="s">
        <v>1246</v>
      </c>
      <c r="E1595" s="275" t="s">
        <v>635</v>
      </c>
      <c r="F1595" s="275" t="s">
        <v>1936</v>
      </c>
      <c r="G1595" s="277" t="s">
        <v>52</v>
      </c>
      <c r="H1595" s="276">
        <v>1</v>
      </c>
      <c r="I1595" s="276" t="s">
        <v>1997</v>
      </c>
      <c r="J1595" s="777" t="s">
        <v>1997</v>
      </c>
      <c r="K1595" s="778"/>
    </row>
    <row r="1596" spans="1:11" ht="21.95" customHeight="1" x14ac:dyDescent="0.2">
      <c r="A1596" s="278" t="s">
        <v>1248</v>
      </c>
      <c r="B1596" s="278"/>
      <c r="C1596" s="279" t="s">
        <v>1958</v>
      </c>
      <c r="D1596" s="278" t="s">
        <v>1250</v>
      </c>
      <c r="E1596" s="278" t="s">
        <v>1959</v>
      </c>
      <c r="F1596" s="278" t="s">
        <v>1252</v>
      </c>
      <c r="G1596" s="280" t="s">
        <v>1253</v>
      </c>
      <c r="H1596" s="279" t="s">
        <v>1538</v>
      </c>
      <c r="I1596" s="279" t="s">
        <v>1960</v>
      </c>
      <c r="J1596" s="781">
        <v>4.8</v>
      </c>
      <c r="K1596" s="782"/>
    </row>
    <row r="1597" spans="1:11" ht="21.95" customHeight="1" x14ac:dyDescent="0.2">
      <c r="A1597" s="278" t="s">
        <v>1248</v>
      </c>
      <c r="B1597" s="278"/>
      <c r="C1597" s="279" t="s">
        <v>1864</v>
      </c>
      <c r="D1597" s="278" t="s">
        <v>1250</v>
      </c>
      <c r="E1597" s="278" t="s">
        <v>1865</v>
      </c>
      <c r="F1597" s="278" t="s">
        <v>1252</v>
      </c>
      <c r="G1597" s="280" t="s">
        <v>1253</v>
      </c>
      <c r="H1597" s="279" t="s">
        <v>1538</v>
      </c>
      <c r="I1597" s="279" t="s">
        <v>1866</v>
      </c>
      <c r="J1597" s="781">
        <v>5.89</v>
      </c>
      <c r="K1597" s="782"/>
    </row>
    <row r="1598" spans="1:11" ht="21.95" customHeight="1" thickBot="1" x14ac:dyDescent="0.25">
      <c r="A1598" s="282" t="s">
        <v>1276</v>
      </c>
      <c r="B1598" s="282"/>
      <c r="C1598" s="283" t="s">
        <v>1998</v>
      </c>
      <c r="D1598" s="282" t="s">
        <v>1250</v>
      </c>
      <c r="E1598" s="282" t="s">
        <v>1048</v>
      </c>
      <c r="F1598" s="282" t="s">
        <v>1278</v>
      </c>
      <c r="G1598" s="284" t="s">
        <v>52</v>
      </c>
      <c r="H1598" s="283" t="s">
        <v>1262</v>
      </c>
      <c r="I1598" s="283" t="s">
        <v>1999</v>
      </c>
      <c r="J1598" s="770">
        <v>10.119999999999999</v>
      </c>
      <c r="K1598" s="771"/>
    </row>
    <row r="1599" spans="1:11" ht="0.95" customHeight="1" thickTop="1" x14ac:dyDescent="0.2">
      <c r="A1599" s="281"/>
      <c r="B1599" s="281"/>
      <c r="C1599" s="281"/>
      <c r="D1599" s="281"/>
      <c r="E1599" s="281"/>
      <c r="F1599" s="281"/>
      <c r="G1599" s="281"/>
      <c r="H1599" s="281"/>
      <c r="I1599" s="281"/>
      <c r="J1599" s="421"/>
      <c r="K1599" s="421"/>
    </row>
    <row r="1600" spans="1:11" ht="18" customHeight="1" x14ac:dyDescent="0.2">
      <c r="A1600" s="272"/>
      <c r="B1600" s="272" t="s">
        <v>54</v>
      </c>
      <c r="C1600" s="273" t="s">
        <v>1239</v>
      </c>
      <c r="D1600" s="272" t="s">
        <v>1240</v>
      </c>
      <c r="E1600" s="272" t="s">
        <v>1241</v>
      </c>
      <c r="F1600" s="272" t="s">
        <v>1242</v>
      </c>
      <c r="G1600" s="274" t="s">
        <v>60</v>
      </c>
      <c r="H1600" s="273" t="s">
        <v>58</v>
      </c>
      <c r="I1600" s="273" t="s">
        <v>1243</v>
      </c>
      <c r="J1600" s="775" t="s">
        <v>196</v>
      </c>
      <c r="K1600" s="776"/>
    </row>
    <row r="1601" spans="1:11" ht="21.95" customHeight="1" x14ac:dyDescent="0.2">
      <c r="A1601" s="275" t="s">
        <v>1244</v>
      </c>
      <c r="B1601" s="275" t="s">
        <v>4622</v>
      </c>
      <c r="C1601" s="276" t="s">
        <v>2005</v>
      </c>
      <c r="D1601" s="275" t="s">
        <v>1246</v>
      </c>
      <c r="E1601" s="275" t="s">
        <v>396</v>
      </c>
      <c r="F1601" s="275" t="s">
        <v>1936</v>
      </c>
      <c r="G1601" s="277" t="s">
        <v>52</v>
      </c>
      <c r="H1601" s="276">
        <v>1</v>
      </c>
      <c r="I1601" s="276" t="s">
        <v>2006</v>
      </c>
      <c r="J1601" s="777" t="s">
        <v>2006</v>
      </c>
      <c r="K1601" s="778"/>
    </row>
    <row r="1602" spans="1:11" ht="21.95" customHeight="1" x14ac:dyDescent="0.2">
      <c r="A1602" s="278" t="s">
        <v>1248</v>
      </c>
      <c r="B1602" s="278"/>
      <c r="C1602" s="279" t="s">
        <v>1864</v>
      </c>
      <c r="D1602" s="278" t="s">
        <v>1250</v>
      </c>
      <c r="E1602" s="278" t="s">
        <v>1865</v>
      </c>
      <c r="F1602" s="278" t="s">
        <v>1252</v>
      </c>
      <c r="G1602" s="280" t="s">
        <v>1253</v>
      </c>
      <c r="H1602" s="279" t="s">
        <v>1483</v>
      </c>
      <c r="I1602" s="279" t="s">
        <v>1866</v>
      </c>
      <c r="J1602" s="781">
        <v>0.17</v>
      </c>
      <c r="K1602" s="782"/>
    </row>
    <row r="1603" spans="1:11" ht="21.95" customHeight="1" thickBot="1" x14ac:dyDescent="0.25">
      <c r="A1603" s="282" t="s">
        <v>1276</v>
      </c>
      <c r="B1603" s="282"/>
      <c r="C1603" s="283" t="s">
        <v>2007</v>
      </c>
      <c r="D1603" s="282" t="s">
        <v>1250</v>
      </c>
      <c r="E1603" s="282" t="s">
        <v>2008</v>
      </c>
      <c r="F1603" s="282" t="s">
        <v>1278</v>
      </c>
      <c r="G1603" s="284" t="s">
        <v>52</v>
      </c>
      <c r="H1603" s="283" t="s">
        <v>1262</v>
      </c>
      <c r="I1603" s="283" t="s">
        <v>1494</v>
      </c>
      <c r="J1603" s="770">
        <v>0.09</v>
      </c>
      <c r="K1603" s="771"/>
    </row>
    <row r="1604" spans="1:11" ht="0.95" customHeight="1" thickTop="1" x14ac:dyDescent="0.2">
      <c r="A1604" s="281"/>
      <c r="B1604" s="281"/>
      <c r="C1604" s="281"/>
      <c r="D1604" s="281"/>
      <c r="E1604" s="281"/>
      <c r="F1604" s="281"/>
      <c r="G1604" s="281"/>
      <c r="H1604" s="281"/>
      <c r="I1604" s="281"/>
      <c r="J1604" s="421"/>
      <c r="K1604" s="421"/>
    </row>
    <row r="1605" spans="1:11" ht="18" customHeight="1" x14ac:dyDescent="0.2">
      <c r="A1605" s="272"/>
      <c r="B1605" s="272" t="s">
        <v>54</v>
      </c>
      <c r="C1605" s="273" t="s">
        <v>1239</v>
      </c>
      <c r="D1605" s="272" t="s">
        <v>1240</v>
      </c>
      <c r="E1605" s="272" t="s">
        <v>1241</v>
      </c>
      <c r="F1605" s="272" t="s">
        <v>1242</v>
      </c>
      <c r="G1605" s="274" t="s">
        <v>60</v>
      </c>
      <c r="H1605" s="273" t="s">
        <v>58</v>
      </c>
      <c r="I1605" s="273" t="s">
        <v>1243</v>
      </c>
      <c r="J1605" s="775" t="s">
        <v>196</v>
      </c>
      <c r="K1605" s="776"/>
    </row>
    <row r="1606" spans="1:11" ht="21.95" customHeight="1" x14ac:dyDescent="0.2">
      <c r="A1606" s="275" t="s">
        <v>1244</v>
      </c>
      <c r="B1606" s="275" t="s">
        <v>4623</v>
      </c>
      <c r="C1606" s="276" t="s">
        <v>2026</v>
      </c>
      <c r="D1606" s="275" t="s">
        <v>1246</v>
      </c>
      <c r="E1606" s="275" t="s">
        <v>639</v>
      </c>
      <c r="F1606" s="275" t="s">
        <v>1936</v>
      </c>
      <c r="G1606" s="277" t="s">
        <v>52</v>
      </c>
      <c r="H1606" s="276">
        <v>1</v>
      </c>
      <c r="I1606" s="276" t="s">
        <v>2027</v>
      </c>
      <c r="J1606" s="777" t="s">
        <v>2027</v>
      </c>
      <c r="K1606" s="778"/>
    </row>
    <row r="1607" spans="1:11" ht="21.95" customHeight="1" x14ac:dyDescent="0.2">
      <c r="A1607" s="278" t="s">
        <v>1248</v>
      </c>
      <c r="B1607" s="278"/>
      <c r="C1607" s="279" t="s">
        <v>1864</v>
      </c>
      <c r="D1607" s="278" t="s">
        <v>1250</v>
      </c>
      <c r="E1607" s="278" t="s">
        <v>1865</v>
      </c>
      <c r="F1607" s="278" t="s">
        <v>1252</v>
      </c>
      <c r="G1607" s="280" t="s">
        <v>1253</v>
      </c>
      <c r="H1607" s="279" t="s">
        <v>1352</v>
      </c>
      <c r="I1607" s="279" t="s">
        <v>1866</v>
      </c>
      <c r="J1607" s="781">
        <v>1.76</v>
      </c>
      <c r="K1607" s="782"/>
    </row>
    <row r="1608" spans="1:11" ht="21.95" customHeight="1" x14ac:dyDescent="0.2">
      <c r="A1608" s="278" t="s">
        <v>1248</v>
      </c>
      <c r="B1608" s="278"/>
      <c r="C1608" s="279" t="s">
        <v>1273</v>
      </c>
      <c r="D1608" s="278" t="s">
        <v>1250</v>
      </c>
      <c r="E1608" s="278" t="s">
        <v>1274</v>
      </c>
      <c r="F1608" s="278" t="s">
        <v>1252</v>
      </c>
      <c r="G1608" s="280" t="s">
        <v>1253</v>
      </c>
      <c r="H1608" s="279" t="s">
        <v>1352</v>
      </c>
      <c r="I1608" s="279" t="s">
        <v>1275</v>
      </c>
      <c r="J1608" s="781">
        <v>1.38</v>
      </c>
      <c r="K1608" s="782"/>
    </row>
    <row r="1609" spans="1:11" ht="21.95" customHeight="1" thickBot="1" x14ac:dyDescent="0.25">
      <c r="A1609" s="282" t="s">
        <v>1276</v>
      </c>
      <c r="B1609" s="282"/>
      <c r="C1609" s="283" t="s">
        <v>2028</v>
      </c>
      <c r="D1609" s="282" t="s">
        <v>1250</v>
      </c>
      <c r="E1609" s="282" t="s">
        <v>1059</v>
      </c>
      <c r="F1609" s="282" t="s">
        <v>1278</v>
      </c>
      <c r="G1609" s="284" t="s">
        <v>52</v>
      </c>
      <c r="H1609" s="283" t="s">
        <v>1262</v>
      </c>
      <c r="I1609" s="283" t="s">
        <v>2029</v>
      </c>
      <c r="J1609" s="770">
        <v>3.2</v>
      </c>
      <c r="K1609" s="771"/>
    </row>
    <row r="1610" spans="1:11" ht="0.95" customHeight="1" thickTop="1" x14ac:dyDescent="0.2">
      <c r="A1610" s="281"/>
      <c r="B1610" s="281"/>
      <c r="C1610" s="281"/>
      <c r="D1610" s="281"/>
      <c r="E1610" s="281"/>
      <c r="F1610" s="281"/>
      <c r="G1610" s="281"/>
      <c r="H1610" s="281"/>
      <c r="I1610" s="281"/>
      <c r="J1610" s="421"/>
      <c r="K1610" s="421"/>
    </row>
    <row r="1611" spans="1:11" ht="18" customHeight="1" x14ac:dyDescent="0.2">
      <c r="A1611" s="272"/>
      <c r="B1611" s="272" t="s">
        <v>54</v>
      </c>
      <c r="C1611" s="273" t="s">
        <v>1239</v>
      </c>
      <c r="D1611" s="272" t="s">
        <v>1240</v>
      </c>
      <c r="E1611" s="272" t="s">
        <v>1241</v>
      </c>
      <c r="F1611" s="272" t="s">
        <v>1242</v>
      </c>
      <c r="G1611" s="274" t="s">
        <v>60</v>
      </c>
      <c r="H1611" s="273" t="s">
        <v>58</v>
      </c>
      <c r="I1611" s="273" t="s">
        <v>1243</v>
      </c>
      <c r="J1611" s="775" t="s">
        <v>196</v>
      </c>
      <c r="K1611" s="776"/>
    </row>
    <row r="1612" spans="1:11" ht="21.95" customHeight="1" x14ac:dyDescent="0.2">
      <c r="A1612" s="275" t="s">
        <v>1244</v>
      </c>
      <c r="B1612" s="275" t="s">
        <v>4624</v>
      </c>
      <c r="C1612" s="276" t="s">
        <v>2018</v>
      </c>
      <c r="D1612" s="275" t="s">
        <v>1246</v>
      </c>
      <c r="E1612" s="275" t="s">
        <v>395</v>
      </c>
      <c r="F1612" s="275" t="s">
        <v>1936</v>
      </c>
      <c r="G1612" s="277" t="s">
        <v>52</v>
      </c>
      <c r="H1612" s="276">
        <v>1</v>
      </c>
      <c r="I1612" s="276" t="s">
        <v>2019</v>
      </c>
      <c r="J1612" s="777" t="s">
        <v>2019</v>
      </c>
      <c r="K1612" s="778"/>
    </row>
    <row r="1613" spans="1:11" ht="21.95" customHeight="1" x14ac:dyDescent="0.2">
      <c r="A1613" s="278" t="s">
        <v>1248</v>
      </c>
      <c r="B1613" s="278"/>
      <c r="C1613" s="279" t="s">
        <v>1864</v>
      </c>
      <c r="D1613" s="278" t="s">
        <v>1250</v>
      </c>
      <c r="E1613" s="278" t="s">
        <v>1865</v>
      </c>
      <c r="F1613" s="278" t="s">
        <v>1252</v>
      </c>
      <c r="G1613" s="280" t="s">
        <v>1253</v>
      </c>
      <c r="H1613" s="279" t="s">
        <v>1356</v>
      </c>
      <c r="I1613" s="279" t="s">
        <v>1866</v>
      </c>
      <c r="J1613" s="781">
        <v>5.3</v>
      </c>
      <c r="K1613" s="782"/>
    </row>
    <row r="1614" spans="1:11" ht="21.95" customHeight="1" x14ac:dyDescent="0.2">
      <c r="A1614" s="278" t="s">
        <v>1248</v>
      </c>
      <c r="B1614" s="278"/>
      <c r="C1614" s="279" t="s">
        <v>1958</v>
      </c>
      <c r="D1614" s="278" t="s">
        <v>1250</v>
      </c>
      <c r="E1614" s="278" t="s">
        <v>1959</v>
      </c>
      <c r="F1614" s="278" t="s">
        <v>1252</v>
      </c>
      <c r="G1614" s="280" t="s">
        <v>1253</v>
      </c>
      <c r="H1614" s="279" t="s">
        <v>1356</v>
      </c>
      <c r="I1614" s="279" t="s">
        <v>1960</v>
      </c>
      <c r="J1614" s="781">
        <v>4.32</v>
      </c>
      <c r="K1614" s="782"/>
    </row>
    <row r="1615" spans="1:11" ht="21.95" customHeight="1" thickBot="1" x14ac:dyDescent="0.25">
      <c r="A1615" s="282" t="s">
        <v>1276</v>
      </c>
      <c r="B1615" s="282"/>
      <c r="C1615" s="283" t="s">
        <v>2020</v>
      </c>
      <c r="D1615" s="282" t="s">
        <v>1246</v>
      </c>
      <c r="E1615" s="282" t="s">
        <v>878</v>
      </c>
      <c r="F1615" s="282" t="s">
        <v>1278</v>
      </c>
      <c r="G1615" s="284" t="s">
        <v>52</v>
      </c>
      <c r="H1615" s="283" t="s">
        <v>1262</v>
      </c>
      <c r="I1615" s="283" t="s">
        <v>2021</v>
      </c>
      <c r="J1615" s="770">
        <v>14.43</v>
      </c>
      <c r="K1615" s="771"/>
    </row>
    <row r="1616" spans="1:11" ht="0.95" customHeight="1" thickTop="1" x14ac:dyDescent="0.2">
      <c r="A1616" s="281"/>
      <c r="B1616" s="281"/>
      <c r="C1616" s="281"/>
      <c r="D1616" s="281"/>
      <c r="E1616" s="281"/>
      <c r="F1616" s="281"/>
      <c r="G1616" s="281"/>
      <c r="H1616" s="281"/>
      <c r="I1616" s="281"/>
      <c r="J1616" s="421"/>
      <c r="K1616" s="421"/>
    </row>
    <row r="1617" spans="1:11" ht="18" customHeight="1" x14ac:dyDescent="0.2">
      <c r="A1617" s="272"/>
      <c r="B1617" s="272" t="s">
        <v>54</v>
      </c>
      <c r="C1617" s="273" t="s">
        <v>1239</v>
      </c>
      <c r="D1617" s="272" t="s">
        <v>1240</v>
      </c>
      <c r="E1617" s="272" t="s">
        <v>1241</v>
      </c>
      <c r="F1617" s="272" t="s">
        <v>1242</v>
      </c>
      <c r="G1617" s="274" t="s">
        <v>60</v>
      </c>
      <c r="H1617" s="273" t="s">
        <v>58</v>
      </c>
      <c r="I1617" s="273" t="s">
        <v>1243</v>
      </c>
      <c r="J1617" s="775" t="s">
        <v>196</v>
      </c>
      <c r="K1617" s="776"/>
    </row>
    <row r="1618" spans="1:11" ht="21.95" customHeight="1" x14ac:dyDescent="0.2">
      <c r="A1618" s="275" t="s">
        <v>1244</v>
      </c>
      <c r="B1618" s="275" t="s">
        <v>4625</v>
      </c>
      <c r="C1618" s="276" t="s">
        <v>2030</v>
      </c>
      <c r="D1618" s="275" t="s">
        <v>1246</v>
      </c>
      <c r="E1618" s="275" t="s">
        <v>363</v>
      </c>
      <c r="F1618" s="275" t="s">
        <v>1936</v>
      </c>
      <c r="G1618" s="277" t="s">
        <v>52</v>
      </c>
      <c r="H1618" s="276">
        <v>1</v>
      </c>
      <c r="I1618" s="276" t="s">
        <v>1590</v>
      </c>
      <c r="J1618" s="777" t="s">
        <v>1590</v>
      </c>
      <c r="K1618" s="778"/>
    </row>
    <row r="1619" spans="1:11" ht="21.95" customHeight="1" x14ac:dyDescent="0.2">
      <c r="A1619" s="278" t="s">
        <v>1248</v>
      </c>
      <c r="B1619" s="278"/>
      <c r="C1619" s="279" t="s">
        <v>1958</v>
      </c>
      <c r="D1619" s="278" t="s">
        <v>1250</v>
      </c>
      <c r="E1619" s="278" t="s">
        <v>1959</v>
      </c>
      <c r="F1619" s="278" t="s">
        <v>1252</v>
      </c>
      <c r="G1619" s="280" t="s">
        <v>1253</v>
      </c>
      <c r="H1619" s="279" t="s">
        <v>1341</v>
      </c>
      <c r="I1619" s="279" t="s">
        <v>1960</v>
      </c>
      <c r="J1619" s="781">
        <v>3.6</v>
      </c>
      <c r="K1619" s="782"/>
    </row>
    <row r="1620" spans="1:11" ht="21.95" customHeight="1" thickBot="1" x14ac:dyDescent="0.25">
      <c r="A1620" s="282" t="s">
        <v>1276</v>
      </c>
      <c r="B1620" s="282"/>
      <c r="C1620" s="283" t="s">
        <v>2031</v>
      </c>
      <c r="D1620" s="282" t="s">
        <v>1250</v>
      </c>
      <c r="E1620" s="282" t="s">
        <v>2032</v>
      </c>
      <c r="F1620" s="282" t="s">
        <v>1278</v>
      </c>
      <c r="G1620" s="284" t="s">
        <v>52</v>
      </c>
      <c r="H1620" s="283" t="s">
        <v>1262</v>
      </c>
      <c r="I1620" s="283" t="s">
        <v>2011</v>
      </c>
      <c r="J1620" s="770">
        <v>0.98</v>
      </c>
      <c r="K1620" s="771"/>
    </row>
    <row r="1621" spans="1:11" ht="0.95" customHeight="1" thickTop="1" x14ac:dyDescent="0.2">
      <c r="A1621" s="281"/>
      <c r="B1621" s="281"/>
      <c r="C1621" s="281"/>
      <c r="D1621" s="281"/>
      <c r="E1621" s="281"/>
      <c r="F1621" s="281"/>
      <c r="G1621" s="281"/>
      <c r="H1621" s="281"/>
      <c r="I1621" s="281"/>
      <c r="J1621" s="421"/>
      <c r="K1621" s="421"/>
    </row>
    <row r="1622" spans="1:11" ht="18" customHeight="1" x14ac:dyDescent="0.2">
      <c r="A1622" s="272"/>
      <c r="B1622" s="272" t="s">
        <v>54</v>
      </c>
      <c r="C1622" s="273" t="s">
        <v>1239</v>
      </c>
      <c r="D1622" s="272" t="s">
        <v>1240</v>
      </c>
      <c r="E1622" s="272" t="s">
        <v>1241</v>
      </c>
      <c r="F1622" s="272" t="s">
        <v>1242</v>
      </c>
      <c r="G1622" s="274" t="s">
        <v>60</v>
      </c>
      <c r="H1622" s="273" t="s">
        <v>58</v>
      </c>
      <c r="I1622" s="273" t="s">
        <v>1243</v>
      </c>
      <c r="J1622" s="775" t="s">
        <v>196</v>
      </c>
      <c r="K1622" s="776"/>
    </row>
    <row r="1623" spans="1:11" ht="21.95" customHeight="1" x14ac:dyDescent="0.2">
      <c r="A1623" s="275" t="s">
        <v>1244</v>
      </c>
      <c r="B1623" s="275" t="s">
        <v>4626</v>
      </c>
      <c r="C1623" s="276" t="s">
        <v>2000</v>
      </c>
      <c r="D1623" s="275" t="s">
        <v>1246</v>
      </c>
      <c r="E1623" s="275" t="s">
        <v>391</v>
      </c>
      <c r="F1623" s="275" t="s">
        <v>1936</v>
      </c>
      <c r="G1623" s="277" t="s">
        <v>52</v>
      </c>
      <c r="H1623" s="276">
        <v>1</v>
      </c>
      <c r="I1623" s="276" t="s">
        <v>2001</v>
      </c>
      <c r="J1623" s="777" t="s">
        <v>2001</v>
      </c>
      <c r="K1623" s="778"/>
    </row>
    <row r="1624" spans="1:11" ht="21.95" customHeight="1" x14ac:dyDescent="0.2">
      <c r="A1624" s="278" t="s">
        <v>1248</v>
      </c>
      <c r="B1624" s="278"/>
      <c r="C1624" s="279" t="s">
        <v>1864</v>
      </c>
      <c r="D1624" s="278" t="s">
        <v>1250</v>
      </c>
      <c r="E1624" s="278" t="s">
        <v>1865</v>
      </c>
      <c r="F1624" s="278" t="s">
        <v>1252</v>
      </c>
      <c r="G1624" s="280" t="s">
        <v>1253</v>
      </c>
      <c r="H1624" s="279" t="s">
        <v>1986</v>
      </c>
      <c r="I1624" s="279" t="s">
        <v>1866</v>
      </c>
      <c r="J1624" s="781">
        <v>2.65</v>
      </c>
      <c r="K1624" s="782"/>
    </row>
    <row r="1625" spans="1:11" ht="33" customHeight="1" thickBot="1" x14ac:dyDescent="0.25">
      <c r="A1625" s="282" t="s">
        <v>1276</v>
      </c>
      <c r="B1625" s="282"/>
      <c r="C1625" s="283" t="s">
        <v>2002</v>
      </c>
      <c r="D1625" s="282" t="s">
        <v>1250</v>
      </c>
      <c r="E1625" s="282" t="s">
        <v>2003</v>
      </c>
      <c r="F1625" s="282" t="s">
        <v>1278</v>
      </c>
      <c r="G1625" s="284" t="s">
        <v>52</v>
      </c>
      <c r="H1625" s="283" t="s">
        <v>1262</v>
      </c>
      <c r="I1625" s="283" t="s">
        <v>2004</v>
      </c>
      <c r="J1625" s="770">
        <v>0.41</v>
      </c>
      <c r="K1625" s="771"/>
    </row>
    <row r="1626" spans="1:11" ht="0.95" customHeight="1" thickTop="1" x14ac:dyDescent="0.2">
      <c r="A1626" s="281"/>
      <c r="B1626" s="281"/>
      <c r="C1626" s="281"/>
      <c r="D1626" s="281"/>
      <c r="E1626" s="281"/>
      <c r="F1626" s="281"/>
      <c r="G1626" s="281"/>
      <c r="H1626" s="281"/>
      <c r="I1626" s="281"/>
      <c r="J1626" s="421"/>
      <c r="K1626" s="421"/>
    </row>
    <row r="1627" spans="1:11" ht="18" customHeight="1" x14ac:dyDescent="0.2">
      <c r="A1627" s="272"/>
      <c r="B1627" s="272" t="s">
        <v>54</v>
      </c>
      <c r="C1627" s="273" t="s">
        <v>1239</v>
      </c>
      <c r="D1627" s="272" t="s">
        <v>1240</v>
      </c>
      <c r="E1627" s="272" t="s">
        <v>1241</v>
      </c>
      <c r="F1627" s="272" t="s">
        <v>1242</v>
      </c>
      <c r="G1627" s="274" t="s">
        <v>60</v>
      </c>
      <c r="H1627" s="273" t="s">
        <v>58</v>
      </c>
      <c r="I1627" s="273" t="s">
        <v>1243</v>
      </c>
      <c r="J1627" s="775" t="s">
        <v>196</v>
      </c>
      <c r="K1627" s="776"/>
    </row>
    <row r="1628" spans="1:11" ht="44.1" customHeight="1" x14ac:dyDescent="0.2">
      <c r="A1628" s="275" t="s">
        <v>1244</v>
      </c>
      <c r="B1628" s="275" t="s">
        <v>4627</v>
      </c>
      <c r="C1628" s="276" t="s">
        <v>2009</v>
      </c>
      <c r="D1628" s="275" t="s">
        <v>1246</v>
      </c>
      <c r="E1628" s="275" t="s">
        <v>393</v>
      </c>
      <c r="F1628" s="275" t="s">
        <v>1936</v>
      </c>
      <c r="G1628" s="277" t="s">
        <v>52</v>
      </c>
      <c r="H1628" s="276">
        <v>1</v>
      </c>
      <c r="I1628" s="276" t="s">
        <v>2010</v>
      </c>
      <c r="J1628" s="777" t="s">
        <v>2010</v>
      </c>
      <c r="K1628" s="778"/>
    </row>
    <row r="1629" spans="1:11" ht="21.95" customHeight="1" x14ac:dyDescent="0.2">
      <c r="A1629" s="278" t="s">
        <v>1248</v>
      </c>
      <c r="B1629" s="278"/>
      <c r="C1629" s="279" t="s">
        <v>1292</v>
      </c>
      <c r="D1629" s="278" t="s">
        <v>1250</v>
      </c>
      <c r="E1629" s="278" t="s">
        <v>1293</v>
      </c>
      <c r="F1629" s="278" t="s">
        <v>1252</v>
      </c>
      <c r="G1629" s="280" t="s">
        <v>1253</v>
      </c>
      <c r="H1629" s="279" t="s">
        <v>2011</v>
      </c>
      <c r="I1629" s="279" t="s">
        <v>1295</v>
      </c>
      <c r="J1629" s="781">
        <v>17.14</v>
      </c>
      <c r="K1629" s="782"/>
    </row>
    <row r="1630" spans="1:11" ht="21.95" customHeight="1" x14ac:dyDescent="0.2">
      <c r="A1630" s="278" t="s">
        <v>1248</v>
      </c>
      <c r="B1630" s="278"/>
      <c r="C1630" s="279" t="s">
        <v>1273</v>
      </c>
      <c r="D1630" s="278" t="s">
        <v>1250</v>
      </c>
      <c r="E1630" s="278" t="s">
        <v>1274</v>
      </c>
      <c r="F1630" s="278" t="s">
        <v>1252</v>
      </c>
      <c r="G1630" s="280" t="s">
        <v>1253</v>
      </c>
      <c r="H1630" s="279" t="s">
        <v>2011</v>
      </c>
      <c r="I1630" s="279" t="s">
        <v>1275</v>
      </c>
      <c r="J1630" s="781">
        <v>13.61</v>
      </c>
      <c r="K1630" s="782"/>
    </row>
    <row r="1631" spans="1:11" ht="21.95" customHeight="1" x14ac:dyDescent="0.2">
      <c r="A1631" s="282" t="s">
        <v>1276</v>
      </c>
      <c r="B1631" s="282"/>
      <c r="C1631" s="283" t="s">
        <v>2012</v>
      </c>
      <c r="D1631" s="282" t="s">
        <v>1246</v>
      </c>
      <c r="E1631" s="282" t="s">
        <v>2013</v>
      </c>
      <c r="F1631" s="282" t="s">
        <v>1278</v>
      </c>
      <c r="G1631" s="284" t="s">
        <v>52</v>
      </c>
      <c r="H1631" s="283" t="s">
        <v>1262</v>
      </c>
      <c r="I1631" s="283" t="s">
        <v>2014</v>
      </c>
      <c r="J1631" s="779">
        <v>13.29</v>
      </c>
      <c r="K1631" s="780"/>
    </row>
    <row r="1632" spans="1:11" ht="21.95" customHeight="1" thickBot="1" x14ac:dyDescent="0.25">
      <c r="A1632" s="282" t="s">
        <v>1276</v>
      </c>
      <c r="B1632" s="282"/>
      <c r="C1632" s="283" t="s">
        <v>2015</v>
      </c>
      <c r="D1632" s="282" t="s">
        <v>1246</v>
      </c>
      <c r="E1632" s="282" t="s">
        <v>2016</v>
      </c>
      <c r="F1632" s="282" t="s">
        <v>1278</v>
      </c>
      <c r="G1632" s="284" t="s">
        <v>52</v>
      </c>
      <c r="H1632" s="283" t="s">
        <v>1262</v>
      </c>
      <c r="I1632" s="283" t="s">
        <v>2017</v>
      </c>
      <c r="J1632" s="770">
        <v>27.33</v>
      </c>
      <c r="K1632" s="771"/>
    </row>
    <row r="1633" spans="1:11" ht="0.95" customHeight="1" thickTop="1" x14ac:dyDescent="0.2">
      <c r="A1633" s="281"/>
      <c r="B1633" s="281"/>
      <c r="C1633" s="281"/>
      <c r="D1633" s="281"/>
      <c r="E1633" s="281"/>
      <c r="F1633" s="281"/>
      <c r="G1633" s="281"/>
      <c r="H1633" s="281"/>
      <c r="I1633" s="281"/>
      <c r="J1633" s="421"/>
      <c r="K1633" s="421"/>
    </row>
    <row r="1634" spans="1:11" ht="18" customHeight="1" x14ac:dyDescent="0.2">
      <c r="A1634" s="272"/>
      <c r="B1634" s="272" t="s">
        <v>54</v>
      </c>
      <c r="C1634" s="273" t="s">
        <v>1239</v>
      </c>
      <c r="D1634" s="272" t="s">
        <v>1240</v>
      </c>
      <c r="E1634" s="272" t="s">
        <v>1241</v>
      </c>
      <c r="F1634" s="272" t="s">
        <v>1242</v>
      </c>
      <c r="G1634" s="274" t="s">
        <v>60</v>
      </c>
      <c r="H1634" s="273" t="s">
        <v>58</v>
      </c>
      <c r="I1634" s="273" t="s">
        <v>1243</v>
      </c>
      <c r="J1634" s="775" t="s">
        <v>196</v>
      </c>
      <c r="K1634" s="776"/>
    </row>
    <row r="1635" spans="1:11" ht="21.95" customHeight="1" x14ac:dyDescent="0.2">
      <c r="A1635" s="275" t="s">
        <v>1244</v>
      </c>
      <c r="B1635" s="275" t="s">
        <v>4628</v>
      </c>
      <c r="C1635" s="276" t="s">
        <v>2022</v>
      </c>
      <c r="D1635" s="275" t="s">
        <v>1246</v>
      </c>
      <c r="E1635" s="275" t="s">
        <v>637</v>
      </c>
      <c r="F1635" s="275" t="s">
        <v>1936</v>
      </c>
      <c r="G1635" s="277" t="s">
        <v>52</v>
      </c>
      <c r="H1635" s="276">
        <v>1</v>
      </c>
      <c r="I1635" s="276" t="s">
        <v>2023</v>
      </c>
      <c r="J1635" s="777" t="s">
        <v>2023</v>
      </c>
      <c r="K1635" s="778"/>
    </row>
    <row r="1636" spans="1:11" ht="21.95" customHeight="1" thickBot="1" x14ac:dyDescent="0.25">
      <c r="A1636" s="282" t="s">
        <v>1276</v>
      </c>
      <c r="B1636" s="282"/>
      <c r="C1636" s="283" t="s">
        <v>2024</v>
      </c>
      <c r="D1636" s="282" t="s">
        <v>1246</v>
      </c>
      <c r="E1636" s="282" t="s">
        <v>2025</v>
      </c>
      <c r="F1636" s="282" t="s">
        <v>1278</v>
      </c>
      <c r="G1636" s="284" t="s">
        <v>52</v>
      </c>
      <c r="H1636" s="283" t="s">
        <v>1262</v>
      </c>
      <c r="I1636" s="283" t="s">
        <v>2023</v>
      </c>
      <c r="J1636" s="770">
        <v>8.15</v>
      </c>
      <c r="K1636" s="771"/>
    </row>
    <row r="1637" spans="1:11" ht="0.95" customHeight="1" thickTop="1" x14ac:dyDescent="0.2">
      <c r="A1637" s="281"/>
      <c r="B1637" s="281"/>
      <c r="C1637" s="281"/>
      <c r="D1637" s="281"/>
      <c r="E1637" s="281"/>
      <c r="F1637" s="281"/>
      <c r="G1637" s="281"/>
      <c r="H1637" s="281"/>
      <c r="I1637" s="281"/>
      <c r="J1637" s="421"/>
      <c r="K1637" s="421"/>
    </row>
    <row r="1638" spans="1:11" ht="18" customHeight="1" x14ac:dyDescent="0.2">
      <c r="A1638" s="272"/>
      <c r="B1638" s="272" t="s">
        <v>54</v>
      </c>
      <c r="C1638" s="273" t="s">
        <v>1239</v>
      </c>
      <c r="D1638" s="272" t="s">
        <v>1240</v>
      </c>
      <c r="E1638" s="272" t="s">
        <v>1241</v>
      </c>
      <c r="F1638" s="272" t="s">
        <v>1242</v>
      </c>
      <c r="G1638" s="274" t="s">
        <v>60</v>
      </c>
      <c r="H1638" s="273" t="s">
        <v>58</v>
      </c>
      <c r="I1638" s="273" t="s">
        <v>1243</v>
      </c>
      <c r="J1638" s="775" t="s">
        <v>196</v>
      </c>
      <c r="K1638" s="776"/>
    </row>
    <row r="1639" spans="1:11" ht="21.95" customHeight="1" x14ac:dyDescent="0.2">
      <c r="A1639" s="275" t="s">
        <v>1244</v>
      </c>
      <c r="B1639" s="275" t="s">
        <v>4629</v>
      </c>
      <c r="C1639" s="276" t="s">
        <v>2033</v>
      </c>
      <c r="D1639" s="275" t="s">
        <v>1246</v>
      </c>
      <c r="E1639" s="275" t="s">
        <v>400</v>
      </c>
      <c r="F1639" s="275" t="s">
        <v>1936</v>
      </c>
      <c r="G1639" s="277" t="s">
        <v>52</v>
      </c>
      <c r="H1639" s="276">
        <v>1</v>
      </c>
      <c r="I1639" s="276" t="s">
        <v>2034</v>
      </c>
      <c r="J1639" s="777" t="s">
        <v>2034</v>
      </c>
      <c r="K1639" s="778"/>
    </row>
    <row r="1640" spans="1:11" ht="21.95" customHeight="1" x14ac:dyDescent="0.2">
      <c r="A1640" s="278" t="s">
        <v>1248</v>
      </c>
      <c r="B1640" s="278"/>
      <c r="C1640" s="279" t="s">
        <v>1864</v>
      </c>
      <c r="D1640" s="278" t="s">
        <v>1250</v>
      </c>
      <c r="E1640" s="278" t="s">
        <v>1865</v>
      </c>
      <c r="F1640" s="278" t="s">
        <v>1252</v>
      </c>
      <c r="G1640" s="280" t="s">
        <v>1253</v>
      </c>
      <c r="H1640" s="279" t="s">
        <v>1356</v>
      </c>
      <c r="I1640" s="279" t="s">
        <v>1866</v>
      </c>
      <c r="J1640" s="781">
        <v>5.3</v>
      </c>
      <c r="K1640" s="782"/>
    </row>
    <row r="1641" spans="1:11" ht="21.95" customHeight="1" x14ac:dyDescent="0.2">
      <c r="A1641" s="278" t="s">
        <v>1248</v>
      </c>
      <c r="B1641" s="278"/>
      <c r="C1641" s="279" t="s">
        <v>1273</v>
      </c>
      <c r="D1641" s="278" t="s">
        <v>1250</v>
      </c>
      <c r="E1641" s="278" t="s">
        <v>1274</v>
      </c>
      <c r="F1641" s="278" t="s">
        <v>1252</v>
      </c>
      <c r="G1641" s="280" t="s">
        <v>1253</v>
      </c>
      <c r="H1641" s="279" t="s">
        <v>1356</v>
      </c>
      <c r="I1641" s="279" t="s">
        <v>1275</v>
      </c>
      <c r="J1641" s="781">
        <v>4.16</v>
      </c>
      <c r="K1641" s="782"/>
    </row>
    <row r="1642" spans="1:11" ht="21.95" customHeight="1" thickBot="1" x14ac:dyDescent="0.25">
      <c r="A1642" s="282" t="s">
        <v>1276</v>
      </c>
      <c r="B1642" s="282"/>
      <c r="C1642" s="283" t="s">
        <v>2035</v>
      </c>
      <c r="D1642" s="282" t="s">
        <v>1246</v>
      </c>
      <c r="E1642" s="282" t="s">
        <v>880</v>
      </c>
      <c r="F1642" s="282" t="s">
        <v>1278</v>
      </c>
      <c r="G1642" s="284" t="s">
        <v>52</v>
      </c>
      <c r="H1642" s="283" t="s">
        <v>1262</v>
      </c>
      <c r="I1642" s="283" t="s">
        <v>2036</v>
      </c>
      <c r="J1642" s="770">
        <v>307.27</v>
      </c>
      <c r="K1642" s="771"/>
    </row>
    <row r="1643" spans="1:11" ht="0.95" customHeight="1" thickTop="1" x14ac:dyDescent="0.2">
      <c r="A1643" s="281"/>
      <c r="B1643" s="281"/>
      <c r="C1643" s="281"/>
      <c r="D1643" s="281"/>
      <c r="E1643" s="281"/>
      <c r="F1643" s="281"/>
      <c r="G1643" s="281"/>
      <c r="H1643" s="281"/>
      <c r="I1643" s="281"/>
      <c r="J1643" s="421"/>
      <c r="K1643" s="421"/>
    </row>
    <row r="1644" spans="1:11" ht="18" customHeight="1" x14ac:dyDescent="0.2">
      <c r="A1644" s="272"/>
      <c r="B1644" s="272" t="s">
        <v>54</v>
      </c>
      <c r="C1644" s="273" t="s">
        <v>1239</v>
      </c>
      <c r="D1644" s="272" t="s">
        <v>1240</v>
      </c>
      <c r="E1644" s="272" t="s">
        <v>1241</v>
      </c>
      <c r="F1644" s="272" t="s">
        <v>1242</v>
      </c>
      <c r="G1644" s="274" t="s">
        <v>60</v>
      </c>
      <c r="H1644" s="273" t="s">
        <v>58</v>
      </c>
      <c r="I1644" s="273" t="s">
        <v>1243</v>
      </c>
      <c r="J1644" s="775" t="s">
        <v>196</v>
      </c>
      <c r="K1644" s="776"/>
    </row>
    <row r="1645" spans="1:11" ht="33" customHeight="1" x14ac:dyDescent="0.2">
      <c r="A1645" s="275" t="s">
        <v>1244</v>
      </c>
      <c r="B1645" s="275" t="s">
        <v>4630</v>
      </c>
      <c r="C1645" s="276" t="s">
        <v>2037</v>
      </c>
      <c r="D1645" s="275" t="s">
        <v>1246</v>
      </c>
      <c r="E1645" s="275" t="s">
        <v>642</v>
      </c>
      <c r="F1645" s="275" t="s">
        <v>1936</v>
      </c>
      <c r="G1645" s="277" t="s">
        <v>52</v>
      </c>
      <c r="H1645" s="276">
        <v>1</v>
      </c>
      <c r="I1645" s="276" t="s">
        <v>2038</v>
      </c>
      <c r="J1645" s="777" t="s">
        <v>2038</v>
      </c>
      <c r="K1645" s="778"/>
    </row>
    <row r="1646" spans="1:11" ht="21.95" customHeight="1" x14ac:dyDescent="0.2">
      <c r="A1646" s="278" t="s">
        <v>1248</v>
      </c>
      <c r="B1646" s="278"/>
      <c r="C1646" s="279" t="s">
        <v>1864</v>
      </c>
      <c r="D1646" s="278" t="s">
        <v>1250</v>
      </c>
      <c r="E1646" s="278" t="s">
        <v>1865</v>
      </c>
      <c r="F1646" s="278" t="s">
        <v>1252</v>
      </c>
      <c r="G1646" s="280" t="s">
        <v>1253</v>
      </c>
      <c r="H1646" s="279" t="s">
        <v>1305</v>
      </c>
      <c r="I1646" s="279" t="s">
        <v>1866</v>
      </c>
      <c r="J1646" s="781">
        <v>88.45</v>
      </c>
      <c r="K1646" s="782"/>
    </row>
    <row r="1647" spans="1:11" ht="21.95" customHeight="1" x14ac:dyDescent="0.2">
      <c r="A1647" s="278" t="s">
        <v>1248</v>
      </c>
      <c r="B1647" s="278"/>
      <c r="C1647" s="279" t="s">
        <v>1273</v>
      </c>
      <c r="D1647" s="278" t="s">
        <v>1250</v>
      </c>
      <c r="E1647" s="278" t="s">
        <v>1274</v>
      </c>
      <c r="F1647" s="278" t="s">
        <v>1252</v>
      </c>
      <c r="G1647" s="280" t="s">
        <v>1253</v>
      </c>
      <c r="H1647" s="279" t="s">
        <v>1305</v>
      </c>
      <c r="I1647" s="279" t="s">
        <v>1275</v>
      </c>
      <c r="J1647" s="781">
        <v>69.45</v>
      </c>
      <c r="K1647" s="782"/>
    </row>
    <row r="1648" spans="1:11" ht="33" customHeight="1" x14ac:dyDescent="0.2">
      <c r="A1648" s="282" t="s">
        <v>1276</v>
      </c>
      <c r="B1648" s="282"/>
      <c r="C1648" s="283" t="s">
        <v>2039</v>
      </c>
      <c r="D1648" s="282" t="s">
        <v>1250</v>
      </c>
      <c r="E1648" s="282" t="s">
        <v>1071</v>
      </c>
      <c r="F1648" s="282" t="s">
        <v>1278</v>
      </c>
      <c r="G1648" s="284" t="s">
        <v>52</v>
      </c>
      <c r="H1648" s="283" t="s">
        <v>1262</v>
      </c>
      <c r="I1648" s="283" t="s">
        <v>2040</v>
      </c>
      <c r="J1648" s="779">
        <v>52.75</v>
      </c>
      <c r="K1648" s="780"/>
    </row>
    <row r="1649" spans="1:11" ht="33" customHeight="1" x14ac:dyDescent="0.2">
      <c r="A1649" s="282" t="s">
        <v>1276</v>
      </c>
      <c r="B1649" s="282"/>
      <c r="C1649" s="283" t="s">
        <v>2041</v>
      </c>
      <c r="D1649" s="282" t="s">
        <v>1250</v>
      </c>
      <c r="E1649" s="282" t="s">
        <v>2042</v>
      </c>
      <c r="F1649" s="282" t="s">
        <v>1278</v>
      </c>
      <c r="G1649" s="284" t="s">
        <v>52</v>
      </c>
      <c r="H1649" s="283" t="s">
        <v>1290</v>
      </c>
      <c r="I1649" s="283" t="s">
        <v>2043</v>
      </c>
      <c r="J1649" s="779">
        <v>1.08</v>
      </c>
      <c r="K1649" s="780"/>
    </row>
    <row r="1650" spans="1:11" ht="21.95" customHeight="1" x14ac:dyDescent="0.2">
      <c r="A1650" s="282" t="s">
        <v>1276</v>
      </c>
      <c r="B1650" s="282"/>
      <c r="C1650" s="283" t="s">
        <v>2044</v>
      </c>
      <c r="D1650" s="282" t="s">
        <v>1250</v>
      </c>
      <c r="E1650" s="282" t="s">
        <v>2045</v>
      </c>
      <c r="F1650" s="282" t="s">
        <v>1278</v>
      </c>
      <c r="G1650" s="284" t="s">
        <v>52</v>
      </c>
      <c r="H1650" s="283" t="s">
        <v>1984</v>
      </c>
      <c r="I1650" s="283" t="s">
        <v>2046</v>
      </c>
      <c r="J1650" s="779">
        <v>15.24</v>
      </c>
      <c r="K1650" s="780"/>
    </row>
    <row r="1651" spans="1:11" ht="21.95" customHeight="1" x14ac:dyDescent="0.2">
      <c r="A1651" s="282" t="s">
        <v>1276</v>
      </c>
      <c r="B1651" s="282"/>
      <c r="C1651" s="283" t="s">
        <v>2047</v>
      </c>
      <c r="D1651" s="282" t="s">
        <v>1250</v>
      </c>
      <c r="E1651" s="282" t="s">
        <v>2048</v>
      </c>
      <c r="F1651" s="282" t="s">
        <v>1278</v>
      </c>
      <c r="G1651" s="284" t="s">
        <v>75</v>
      </c>
      <c r="H1651" s="283" t="s">
        <v>1984</v>
      </c>
      <c r="I1651" s="283" t="s">
        <v>2049</v>
      </c>
      <c r="J1651" s="779">
        <v>110.88</v>
      </c>
      <c r="K1651" s="780"/>
    </row>
    <row r="1652" spans="1:11" ht="21.95" customHeight="1" thickBot="1" x14ac:dyDescent="0.25">
      <c r="A1652" s="282" t="s">
        <v>1276</v>
      </c>
      <c r="B1652" s="282"/>
      <c r="C1652" s="283" t="s">
        <v>2050</v>
      </c>
      <c r="D1652" s="282" t="s">
        <v>1250</v>
      </c>
      <c r="E1652" s="282" t="s">
        <v>2051</v>
      </c>
      <c r="F1652" s="282" t="s">
        <v>1278</v>
      </c>
      <c r="G1652" s="284" t="s">
        <v>52</v>
      </c>
      <c r="H1652" s="283" t="s">
        <v>1984</v>
      </c>
      <c r="I1652" s="283" t="s">
        <v>1938</v>
      </c>
      <c r="J1652" s="770">
        <v>13.65</v>
      </c>
      <c r="K1652" s="771"/>
    </row>
    <row r="1653" spans="1:11" ht="0.95" customHeight="1" thickTop="1" x14ac:dyDescent="0.2">
      <c r="A1653" s="281"/>
      <c r="B1653" s="281"/>
      <c r="C1653" s="281"/>
      <c r="D1653" s="281"/>
      <c r="E1653" s="281"/>
      <c r="F1653" s="281"/>
      <c r="G1653" s="281"/>
      <c r="H1653" s="281"/>
      <c r="I1653" s="281"/>
      <c r="J1653" s="421"/>
      <c r="K1653" s="421"/>
    </row>
    <row r="1654" spans="1:11" ht="18" customHeight="1" x14ac:dyDescent="0.2">
      <c r="A1654" s="272"/>
      <c r="B1654" s="272" t="s">
        <v>54</v>
      </c>
      <c r="C1654" s="273" t="s">
        <v>1239</v>
      </c>
      <c r="D1654" s="272" t="s">
        <v>1240</v>
      </c>
      <c r="E1654" s="272" t="s">
        <v>1241</v>
      </c>
      <c r="F1654" s="272" t="s">
        <v>1242</v>
      </c>
      <c r="G1654" s="274" t="s">
        <v>60</v>
      </c>
      <c r="H1654" s="273" t="s">
        <v>58</v>
      </c>
      <c r="I1654" s="273" t="s">
        <v>1243</v>
      </c>
      <c r="J1654" s="775" t="s">
        <v>196</v>
      </c>
      <c r="K1654" s="776"/>
    </row>
    <row r="1655" spans="1:11" ht="21.95" customHeight="1" x14ac:dyDescent="0.2">
      <c r="A1655" s="275" t="s">
        <v>1244</v>
      </c>
      <c r="B1655" s="275" t="s">
        <v>4631</v>
      </c>
      <c r="C1655" s="276" t="s">
        <v>2052</v>
      </c>
      <c r="D1655" s="275" t="s">
        <v>1246</v>
      </c>
      <c r="E1655" s="275" t="s">
        <v>643</v>
      </c>
      <c r="F1655" s="275" t="s">
        <v>1936</v>
      </c>
      <c r="G1655" s="277" t="s">
        <v>52</v>
      </c>
      <c r="H1655" s="276">
        <v>1</v>
      </c>
      <c r="I1655" s="276" t="s">
        <v>2053</v>
      </c>
      <c r="J1655" s="777" t="s">
        <v>2053</v>
      </c>
      <c r="K1655" s="778"/>
    </row>
    <row r="1656" spans="1:11" ht="21.95" customHeight="1" x14ac:dyDescent="0.2">
      <c r="A1656" s="278" t="s">
        <v>1248</v>
      </c>
      <c r="B1656" s="278"/>
      <c r="C1656" s="279" t="s">
        <v>1864</v>
      </c>
      <c r="D1656" s="278" t="s">
        <v>1250</v>
      </c>
      <c r="E1656" s="278" t="s">
        <v>1865</v>
      </c>
      <c r="F1656" s="278" t="s">
        <v>1252</v>
      </c>
      <c r="G1656" s="280" t="s">
        <v>1253</v>
      </c>
      <c r="H1656" s="279" t="s">
        <v>1356</v>
      </c>
      <c r="I1656" s="279" t="s">
        <v>1866</v>
      </c>
      <c r="J1656" s="781">
        <v>5.3</v>
      </c>
      <c r="K1656" s="782"/>
    </row>
    <row r="1657" spans="1:11" ht="21.95" customHeight="1" x14ac:dyDescent="0.2">
      <c r="A1657" s="278" t="s">
        <v>1248</v>
      </c>
      <c r="B1657" s="278"/>
      <c r="C1657" s="279" t="s">
        <v>1273</v>
      </c>
      <c r="D1657" s="278" t="s">
        <v>1250</v>
      </c>
      <c r="E1657" s="278" t="s">
        <v>1274</v>
      </c>
      <c r="F1657" s="278" t="s">
        <v>1252</v>
      </c>
      <c r="G1657" s="280" t="s">
        <v>1253</v>
      </c>
      <c r="H1657" s="279" t="s">
        <v>1356</v>
      </c>
      <c r="I1657" s="279" t="s">
        <v>1275</v>
      </c>
      <c r="J1657" s="781">
        <v>4.16</v>
      </c>
      <c r="K1657" s="782"/>
    </row>
    <row r="1658" spans="1:11" ht="21.95" customHeight="1" x14ac:dyDescent="0.2">
      <c r="A1658" s="282" t="s">
        <v>1276</v>
      </c>
      <c r="B1658" s="282"/>
      <c r="C1658" s="283" t="s">
        <v>2054</v>
      </c>
      <c r="D1658" s="282" t="s">
        <v>1250</v>
      </c>
      <c r="E1658" s="282" t="s">
        <v>1073</v>
      </c>
      <c r="F1658" s="282" t="s">
        <v>1278</v>
      </c>
      <c r="G1658" s="284" t="s">
        <v>52</v>
      </c>
      <c r="H1658" s="283" t="s">
        <v>1262</v>
      </c>
      <c r="I1658" s="283" t="s">
        <v>2055</v>
      </c>
      <c r="J1658" s="779">
        <v>28.5</v>
      </c>
      <c r="K1658" s="780"/>
    </row>
    <row r="1659" spans="1:11" ht="21.95" customHeight="1" x14ac:dyDescent="0.2">
      <c r="A1659" s="282" t="s">
        <v>1276</v>
      </c>
      <c r="B1659" s="282"/>
      <c r="C1659" s="283" t="s">
        <v>2056</v>
      </c>
      <c r="D1659" s="282" t="s">
        <v>1250</v>
      </c>
      <c r="E1659" s="282" t="s">
        <v>2057</v>
      </c>
      <c r="F1659" s="282" t="s">
        <v>1278</v>
      </c>
      <c r="G1659" s="284" t="s">
        <v>52</v>
      </c>
      <c r="H1659" s="283" t="s">
        <v>1356</v>
      </c>
      <c r="I1659" s="283" t="s">
        <v>2058</v>
      </c>
      <c r="J1659" s="779">
        <v>4.13</v>
      </c>
      <c r="K1659" s="780"/>
    </row>
    <row r="1660" spans="1:11" ht="21.95" customHeight="1" thickBot="1" x14ac:dyDescent="0.25">
      <c r="A1660" s="282" t="s">
        <v>1276</v>
      </c>
      <c r="B1660" s="282"/>
      <c r="C1660" s="283" t="s">
        <v>2059</v>
      </c>
      <c r="D1660" s="282" t="s">
        <v>1250</v>
      </c>
      <c r="E1660" s="282" t="s">
        <v>2060</v>
      </c>
      <c r="F1660" s="282" t="s">
        <v>1278</v>
      </c>
      <c r="G1660" s="284" t="s">
        <v>52</v>
      </c>
      <c r="H1660" s="283" t="s">
        <v>1262</v>
      </c>
      <c r="I1660" s="283" t="s">
        <v>2061</v>
      </c>
      <c r="J1660" s="770">
        <v>7.97</v>
      </c>
      <c r="K1660" s="771"/>
    </row>
    <row r="1661" spans="1:11" ht="0.95" customHeight="1" thickTop="1" x14ac:dyDescent="0.2">
      <c r="A1661" s="281"/>
      <c r="B1661" s="281"/>
      <c r="C1661" s="281"/>
      <c r="D1661" s="281"/>
      <c r="E1661" s="281"/>
      <c r="F1661" s="281"/>
      <c r="G1661" s="281"/>
      <c r="H1661" s="281"/>
      <c r="I1661" s="281"/>
      <c r="J1661" s="421"/>
      <c r="K1661" s="421"/>
    </row>
    <row r="1662" spans="1:11" ht="18" customHeight="1" x14ac:dyDescent="0.2">
      <c r="A1662" s="272"/>
      <c r="B1662" s="272" t="s">
        <v>54</v>
      </c>
      <c r="C1662" s="273" t="s">
        <v>1239</v>
      </c>
      <c r="D1662" s="272" t="s">
        <v>1240</v>
      </c>
      <c r="E1662" s="272" t="s">
        <v>1241</v>
      </c>
      <c r="F1662" s="272" t="s">
        <v>1242</v>
      </c>
      <c r="G1662" s="274" t="s">
        <v>60</v>
      </c>
      <c r="H1662" s="273" t="s">
        <v>58</v>
      </c>
      <c r="I1662" s="273" t="s">
        <v>1243</v>
      </c>
      <c r="J1662" s="775" t="s">
        <v>196</v>
      </c>
      <c r="K1662" s="776"/>
    </row>
    <row r="1663" spans="1:11" ht="21.95" customHeight="1" x14ac:dyDescent="0.2">
      <c r="A1663" s="275" t="s">
        <v>1244</v>
      </c>
      <c r="B1663" s="275" t="s">
        <v>4632</v>
      </c>
      <c r="C1663" s="276" t="s">
        <v>2324</v>
      </c>
      <c r="D1663" s="275" t="s">
        <v>1246</v>
      </c>
      <c r="E1663" s="275" t="s">
        <v>365</v>
      </c>
      <c r="F1663" s="275" t="s">
        <v>1252</v>
      </c>
      <c r="G1663" s="277" t="s">
        <v>52</v>
      </c>
      <c r="H1663" s="276">
        <v>1</v>
      </c>
      <c r="I1663" s="276" t="s">
        <v>2325</v>
      </c>
      <c r="J1663" s="777" t="s">
        <v>2325</v>
      </c>
      <c r="K1663" s="778"/>
    </row>
    <row r="1664" spans="1:11" ht="21.95" customHeight="1" x14ac:dyDescent="0.2">
      <c r="A1664" s="278" t="s">
        <v>1248</v>
      </c>
      <c r="B1664" s="278"/>
      <c r="C1664" s="279" t="s">
        <v>1269</v>
      </c>
      <c r="D1664" s="278" t="s">
        <v>1250</v>
      </c>
      <c r="E1664" s="278" t="s">
        <v>1270</v>
      </c>
      <c r="F1664" s="278" t="s">
        <v>1252</v>
      </c>
      <c r="G1664" s="280" t="s">
        <v>1253</v>
      </c>
      <c r="H1664" s="279" t="s">
        <v>1619</v>
      </c>
      <c r="I1664" s="279" t="s">
        <v>1272</v>
      </c>
      <c r="J1664" s="781">
        <v>3.41</v>
      </c>
      <c r="K1664" s="782"/>
    </row>
    <row r="1665" spans="1:11" ht="21.95" customHeight="1" x14ac:dyDescent="0.2">
      <c r="A1665" s="278" t="s">
        <v>1248</v>
      </c>
      <c r="B1665" s="278"/>
      <c r="C1665" s="279" t="s">
        <v>1273</v>
      </c>
      <c r="D1665" s="278" t="s">
        <v>1250</v>
      </c>
      <c r="E1665" s="278" t="s">
        <v>1274</v>
      </c>
      <c r="F1665" s="278" t="s">
        <v>1252</v>
      </c>
      <c r="G1665" s="280" t="s">
        <v>1253</v>
      </c>
      <c r="H1665" s="279" t="s">
        <v>1619</v>
      </c>
      <c r="I1665" s="279" t="s">
        <v>1275</v>
      </c>
      <c r="J1665" s="781">
        <v>2.77</v>
      </c>
      <c r="K1665" s="782"/>
    </row>
    <row r="1666" spans="1:11" ht="21.95" customHeight="1" thickBot="1" x14ac:dyDescent="0.25">
      <c r="A1666" s="282" t="s">
        <v>1276</v>
      </c>
      <c r="B1666" s="282"/>
      <c r="C1666" s="283" t="s">
        <v>2326</v>
      </c>
      <c r="D1666" s="282" t="s">
        <v>1246</v>
      </c>
      <c r="E1666" s="282" t="s">
        <v>1014</v>
      </c>
      <c r="F1666" s="282" t="s">
        <v>1278</v>
      </c>
      <c r="G1666" s="284" t="s">
        <v>52</v>
      </c>
      <c r="H1666" s="283" t="s">
        <v>1262</v>
      </c>
      <c r="I1666" s="283" t="s">
        <v>2327</v>
      </c>
      <c r="J1666" s="770">
        <v>11</v>
      </c>
      <c r="K1666" s="771"/>
    </row>
    <row r="1667" spans="1:11" ht="0.95" customHeight="1" thickTop="1" x14ac:dyDescent="0.2">
      <c r="A1667" s="281"/>
      <c r="B1667" s="281"/>
      <c r="C1667" s="281"/>
      <c r="D1667" s="281"/>
      <c r="E1667" s="281"/>
      <c r="F1667" s="281"/>
      <c r="G1667" s="281"/>
      <c r="H1667" s="281"/>
      <c r="I1667" s="281"/>
      <c r="J1667" s="421"/>
      <c r="K1667" s="421"/>
    </row>
    <row r="1668" spans="1:11" ht="18" customHeight="1" x14ac:dyDescent="0.2">
      <c r="A1668" s="272"/>
      <c r="B1668" s="272" t="s">
        <v>54</v>
      </c>
      <c r="C1668" s="273" t="s">
        <v>1239</v>
      </c>
      <c r="D1668" s="272" t="s">
        <v>1240</v>
      </c>
      <c r="E1668" s="272" t="s">
        <v>1241</v>
      </c>
      <c r="F1668" s="272" t="s">
        <v>1242</v>
      </c>
      <c r="G1668" s="274" t="s">
        <v>60</v>
      </c>
      <c r="H1668" s="273" t="s">
        <v>58</v>
      </c>
      <c r="I1668" s="273" t="s">
        <v>1243</v>
      </c>
      <c r="J1668" s="775" t="s">
        <v>196</v>
      </c>
      <c r="K1668" s="776"/>
    </row>
    <row r="1669" spans="1:11" ht="33" customHeight="1" x14ac:dyDescent="0.2">
      <c r="A1669" s="275" t="s">
        <v>1244</v>
      </c>
      <c r="B1669" s="275" t="s">
        <v>4633</v>
      </c>
      <c r="C1669" s="276" t="s">
        <v>2328</v>
      </c>
      <c r="D1669" s="275" t="s">
        <v>1246</v>
      </c>
      <c r="E1669" s="275" t="s">
        <v>367</v>
      </c>
      <c r="F1669" s="275" t="s">
        <v>1252</v>
      </c>
      <c r="G1669" s="277" t="s">
        <v>52</v>
      </c>
      <c r="H1669" s="276">
        <v>1</v>
      </c>
      <c r="I1669" s="276" t="s">
        <v>2329</v>
      </c>
      <c r="J1669" s="777" t="s">
        <v>2329</v>
      </c>
      <c r="K1669" s="778"/>
    </row>
    <row r="1670" spans="1:11" ht="21.95" customHeight="1" x14ac:dyDescent="0.2">
      <c r="A1670" s="278" t="s">
        <v>1248</v>
      </c>
      <c r="B1670" s="278"/>
      <c r="C1670" s="279" t="s">
        <v>1565</v>
      </c>
      <c r="D1670" s="278" t="s">
        <v>1250</v>
      </c>
      <c r="E1670" s="278" t="s">
        <v>1566</v>
      </c>
      <c r="F1670" s="278" t="s">
        <v>1252</v>
      </c>
      <c r="G1670" s="280" t="s">
        <v>1253</v>
      </c>
      <c r="H1670" s="279" t="s">
        <v>1356</v>
      </c>
      <c r="I1670" s="279" t="s">
        <v>1568</v>
      </c>
      <c r="J1670" s="781">
        <v>4.09</v>
      </c>
      <c r="K1670" s="782"/>
    </row>
    <row r="1671" spans="1:11" ht="21.95" customHeight="1" x14ac:dyDescent="0.2">
      <c r="A1671" s="278" t="s">
        <v>1248</v>
      </c>
      <c r="B1671" s="278"/>
      <c r="C1671" s="279" t="s">
        <v>1269</v>
      </c>
      <c r="D1671" s="278" t="s">
        <v>1250</v>
      </c>
      <c r="E1671" s="278" t="s">
        <v>1270</v>
      </c>
      <c r="F1671" s="278" t="s">
        <v>1252</v>
      </c>
      <c r="G1671" s="280" t="s">
        <v>1253</v>
      </c>
      <c r="H1671" s="279" t="s">
        <v>1356</v>
      </c>
      <c r="I1671" s="279" t="s">
        <v>1272</v>
      </c>
      <c r="J1671" s="781">
        <v>5.12</v>
      </c>
      <c r="K1671" s="782"/>
    </row>
    <row r="1672" spans="1:11" ht="33" customHeight="1" x14ac:dyDescent="0.2">
      <c r="A1672" s="282" t="s">
        <v>1276</v>
      </c>
      <c r="B1672" s="282"/>
      <c r="C1672" s="283" t="s">
        <v>2330</v>
      </c>
      <c r="D1672" s="282" t="s">
        <v>1250</v>
      </c>
      <c r="E1672" s="282" t="s">
        <v>2331</v>
      </c>
      <c r="F1672" s="282" t="s">
        <v>1278</v>
      </c>
      <c r="G1672" s="284" t="s">
        <v>52</v>
      </c>
      <c r="H1672" s="283" t="s">
        <v>1417</v>
      </c>
      <c r="I1672" s="283" t="s">
        <v>2332</v>
      </c>
      <c r="J1672" s="779">
        <v>0.4</v>
      </c>
      <c r="K1672" s="780"/>
    </row>
    <row r="1673" spans="1:11" ht="33" customHeight="1" thickBot="1" x14ac:dyDescent="0.25">
      <c r="A1673" s="282" t="s">
        <v>1276</v>
      </c>
      <c r="B1673" s="282"/>
      <c r="C1673" s="283" t="s">
        <v>2333</v>
      </c>
      <c r="D1673" s="282" t="s">
        <v>1246</v>
      </c>
      <c r="E1673" s="282" t="s">
        <v>1018</v>
      </c>
      <c r="F1673" s="282" t="s">
        <v>1278</v>
      </c>
      <c r="G1673" s="284" t="s">
        <v>52</v>
      </c>
      <c r="H1673" s="283" t="s">
        <v>1262</v>
      </c>
      <c r="I1673" s="283" t="s">
        <v>2334</v>
      </c>
      <c r="J1673" s="770">
        <v>14.87</v>
      </c>
      <c r="K1673" s="771"/>
    </row>
    <row r="1674" spans="1:11" ht="0.95" customHeight="1" thickTop="1" x14ac:dyDescent="0.2">
      <c r="A1674" s="281"/>
      <c r="B1674" s="281"/>
      <c r="C1674" s="281"/>
      <c r="D1674" s="281"/>
      <c r="E1674" s="281"/>
      <c r="F1674" s="281"/>
      <c r="G1674" s="281"/>
      <c r="H1674" s="281"/>
      <c r="I1674" s="281"/>
      <c r="J1674" s="421"/>
      <c r="K1674" s="421"/>
    </row>
    <row r="1675" spans="1:11" ht="18" customHeight="1" x14ac:dyDescent="0.2">
      <c r="A1675" s="272"/>
      <c r="B1675" s="272" t="s">
        <v>54</v>
      </c>
      <c r="C1675" s="273" t="s">
        <v>1239</v>
      </c>
      <c r="D1675" s="272" t="s">
        <v>1240</v>
      </c>
      <c r="E1675" s="272" t="s">
        <v>1241</v>
      </c>
      <c r="F1675" s="272" t="s">
        <v>1242</v>
      </c>
      <c r="G1675" s="274" t="s">
        <v>60</v>
      </c>
      <c r="H1675" s="273" t="s">
        <v>58</v>
      </c>
      <c r="I1675" s="273" t="s">
        <v>1243</v>
      </c>
      <c r="J1675" s="775" t="s">
        <v>196</v>
      </c>
      <c r="K1675" s="776"/>
    </row>
    <row r="1676" spans="1:11" ht="44.1" customHeight="1" x14ac:dyDescent="0.2">
      <c r="A1676" s="275" t="s">
        <v>1244</v>
      </c>
      <c r="B1676" s="275" t="s">
        <v>4634</v>
      </c>
      <c r="C1676" s="276" t="s">
        <v>2335</v>
      </c>
      <c r="D1676" s="275" t="s">
        <v>1246</v>
      </c>
      <c r="E1676" s="275" t="s">
        <v>369</v>
      </c>
      <c r="F1676" s="275" t="s">
        <v>1252</v>
      </c>
      <c r="G1676" s="277" t="s">
        <v>52</v>
      </c>
      <c r="H1676" s="276">
        <v>1</v>
      </c>
      <c r="I1676" s="276" t="s">
        <v>2336</v>
      </c>
      <c r="J1676" s="777" t="s">
        <v>2336</v>
      </c>
      <c r="K1676" s="778"/>
    </row>
    <row r="1677" spans="1:11" ht="21.95" customHeight="1" x14ac:dyDescent="0.2">
      <c r="A1677" s="278" t="s">
        <v>1248</v>
      </c>
      <c r="B1677" s="278"/>
      <c r="C1677" s="279" t="s">
        <v>1269</v>
      </c>
      <c r="D1677" s="278" t="s">
        <v>1250</v>
      </c>
      <c r="E1677" s="278" t="s">
        <v>1270</v>
      </c>
      <c r="F1677" s="278" t="s">
        <v>1252</v>
      </c>
      <c r="G1677" s="280" t="s">
        <v>1253</v>
      </c>
      <c r="H1677" s="279" t="s">
        <v>1619</v>
      </c>
      <c r="I1677" s="279" t="s">
        <v>1272</v>
      </c>
      <c r="J1677" s="781">
        <v>3.41</v>
      </c>
      <c r="K1677" s="782"/>
    </row>
    <row r="1678" spans="1:11" ht="21.95" customHeight="1" x14ac:dyDescent="0.2">
      <c r="A1678" s="278" t="s">
        <v>1248</v>
      </c>
      <c r="B1678" s="278"/>
      <c r="C1678" s="279" t="s">
        <v>1273</v>
      </c>
      <c r="D1678" s="278" t="s">
        <v>1250</v>
      </c>
      <c r="E1678" s="278" t="s">
        <v>1274</v>
      </c>
      <c r="F1678" s="278" t="s">
        <v>1252</v>
      </c>
      <c r="G1678" s="280" t="s">
        <v>1253</v>
      </c>
      <c r="H1678" s="279" t="s">
        <v>1619</v>
      </c>
      <c r="I1678" s="279" t="s">
        <v>1275</v>
      </c>
      <c r="J1678" s="781">
        <v>2.77</v>
      </c>
      <c r="K1678" s="782"/>
    </row>
    <row r="1679" spans="1:11" ht="44.1" customHeight="1" thickBot="1" x14ac:dyDescent="0.25">
      <c r="A1679" s="282" t="s">
        <v>1276</v>
      </c>
      <c r="B1679" s="282"/>
      <c r="C1679" s="283" t="s">
        <v>2337</v>
      </c>
      <c r="D1679" s="282" t="s">
        <v>1250</v>
      </c>
      <c r="E1679" s="282" t="s">
        <v>369</v>
      </c>
      <c r="F1679" s="282" t="s">
        <v>1278</v>
      </c>
      <c r="G1679" s="284" t="s">
        <v>52</v>
      </c>
      <c r="H1679" s="283" t="s">
        <v>1262</v>
      </c>
      <c r="I1679" s="283" t="s">
        <v>2338</v>
      </c>
      <c r="J1679" s="770">
        <v>28.37</v>
      </c>
      <c r="K1679" s="771"/>
    </row>
    <row r="1680" spans="1:11" ht="0.95" customHeight="1" thickTop="1" x14ac:dyDescent="0.2">
      <c r="A1680" s="281"/>
      <c r="B1680" s="281"/>
      <c r="C1680" s="281"/>
      <c r="D1680" s="281"/>
      <c r="E1680" s="281"/>
      <c r="F1680" s="281"/>
      <c r="G1680" s="281"/>
      <c r="H1680" s="281"/>
      <c r="I1680" s="281"/>
      <c r="J1680" s="421"/>
      <c r="K1680" s="421"/>
    </row>
    <row r="1681" spans="1:11" ht="18" customHeight="1" x14ac:dyDescent="0.2">
      <c r="A1681" s="272"/>
      <c r="B1681" s="272" t="s">
        <v>54</v>
      </c>
      <c r="C1681" s="273" t="s">
        <v>1239</v>
      </c>
      <c r="D1681" s="272" t="s">
        <v>1240</v>
      </c>
      <c r="E1681" s="272" t="s">
        <v>1241</v>
      </c>
      <c r="F1681" s="272" t="s">
        <v>1242</v>
      </c>
      <c r="G1681" s="274" t="s">
        <v>60</v>
      </c>
      <c r="H1681" s="273" t="s">
        <v>58</v>
      </c>
      <c r="I1681" s="273" t="s">
        <v>1243</v>
      </c>
      <c r="J1681" s="775" t="s">
        <v>196</v>
      </c>
      <c r="K1681" s="776"/>
    </row>
    <row r="1682" spans="1:11" ht="21.95" customHeight="1" x14ac:dyDescent="0.2">
      <c r="A1682" s="275" t="s">
        <v>1244</v>
      </c>
      <c r="B1682" s="275" t="s">
        <v>4635</v>
      </c>
      <c r="C1682" s="276" t="s">
        <v>2339</v>
      </c>
      <c r="D1682" s="275" t="s">
        <v>1246</v>
      </c>
      <c r="E1682" s="275" t="s">
        <v>371</v>
      </c>
      <c r="F1682" s="275" t="s">
        <v>1550</v>
      </c>
      <c r="G1682" s="277" t="s">
        <v>52</v>
      </c>
      <c r="H1682" s="276">
        <v>1</v>
      </c>
      <c r="I1682" s="276" t="s">
        <v>2340</v>
      </c>
      <c r="J1682" s="777" t="s">
        <v>2340</v>
      </c>
      <c r="K1682" s="778"/>
    </row>
    <row r="1683" spans="1:11" ht="21.95" customHeight="1" x14ac:dyDescent="0.2">
      <c r="A1683" s="278" t="s">
        <v>1248</v>
      </c>
      <c r="B1683" s="278"/>
      <c r="C1683" s="279" t="s">
        <v>1864</v>
      </c>
      <c r="D1683" s="278" t="s">
        <v>1250</v>
      </c>
      <c r="E1683" s="278" t="s">
        <v>1865</v>
      </c>
      <c r="F1683" s="278" t="s">
        <v>1252</v>
      </c>
      <c r="G1683" s="280" t="s">
        <v>1253</v>
      </c>
      <c r="H1683" s="279" t="s">
        <v>1689</v>
      </c>
      <c r="I1683" s="279" t="s">
        <v>1866</v>
      </c>
      <c r="J1683" s="781">
        <v>8.84</v>
      </c>
      <c r="K1683" s="782"/>
    </row>
    <row r="1684" spans="1:11" ht="21.95" customHeight="1" x14ac:dyDescent="0.2">
      <c r="A1684" s="278" t="s">
        <v>1248</v>
      </c>
      <c r="B1684" s="278"/>
      <c r="C1684" s="279" t="s">
        <v>1273</v>
      </c>
      <c r="D1684" s="278" t="s">
        <v>1250</v>
      </c>
      <c r="E1684" s="278" t="s">
        <v>1274</v>
      </c>
      <c r="F1684" s="278" t="s">
        <v>1252</v>
      </c>
      <c r="G1684" s="280" t="s">
        <v>1253</v>
      </c>
      <c r="H1684" s="279" t="s">
        <v>1689</v>
      </c>
      <c r="I1684" s="279" t="s">
        <v>1275</v>
      </c>
      <c r="J1684" s="781">
        <v>6.94</v>
      </c>
      <c r="K1684" s="782"/>
    </row>
    <row r="1685" spans="1:11" ht="21.95" customHeight="1" thickBot="1" x14ac:dyDescent="0.25">
      <c r="A1685" s="282" t="s">
        <v>1276</v>
      </c>
      <c r="B1685" s="282"/>
      <c r="C1685" s="283" t="s">
        <v>2341</v>
      </c>
      <c r="D1685" s="282" t="s">
        <v>1246</v>
      </c>
      <c r="E1685" s="282" t="s">
        <v>1006</v>
      </c>
      <c r="F1685" s="282" t="s">
        <v>1278</v>
      </c>
      <c r="G1685" s="284" t="s">
        <v>52</v>
      </c>
      <c r="H1685" s="283" t="s">
        <v>1262</v>
      </c>
      <c r="I1685" s="283" t="s">
        <v>2342</v>
      </c>
      <c r="J1685" s="770">
        <v>63.63</v>
      </c>
      <c r="K1685" s="771"/>
    </row>
    <row r="1686" spans="1:11" ht="0.95" customHeight="1" thickTop="1" x14ac:dyDescent="0.2">
      <c r="A1686" s="281"/>
      <c r="B1686" s="281"/>
      <c r="C1686" s="281"/>
      <c r="D1686" s="281"/>
      <c r="E1686" s="281"/>
      <c r="F1686" s="281"/>
      <c r="G1686" s="281"/>
      <c r="H1686" s="281"/>
      <c r="I1686" s="281"/>
      <c r="J1686" s="421"/>
      <c r="K1686" s="421"/>
    </row>
    <row r="1687" spans="1:11" ht="18" customHeight="1" x14ac:dyDescent="0.2">
      <c r="A1687" s="272"/>
      <c r="B1687" s="272" t="s">
        <v>54</v>
      </c>
      <c r="C1687" s="273" t="s">
        <v>1239</v>
      </c>
      <c r="D1687" s="272" t="s">
        <v>1240</v>
      </c>
      <c r="E1687" s="272" t="s">
        <v>1241</v>
      </c>
      <c r="F1687" s="272" t="s">
        <v>1242</v>
      </c>
      <c r="G1687" s="274" t="s">
        <v>60</v>
      </c>
      <c r="H1687" s="273" t="s">
        <v>58</v>
      </c>
      <c r="I1687" s="273" t="s">
        <v>1243</v>
      </c>
      <c r="J1687" s="775" t="s">
        <v>196</v>
      </c>
      <c r="K1687" s="776"/>
    </row>
    <row r="1688" spans="1:11" ht="21.95" customHeight="1" x14ac:dyDescent="0.2">
      <c r="A1688" s="275" t="s">
        <v>1244</v>
      </c>
      <c r="B1688" s="275" t="s">
        <v>4636</v>
      </c>
      <c r="C1688" s="276" t="s">
        <v>2343</v>
      </c>
      <c r="D1688" s="275" t="s">
        <v>1246</v>
      </c>
      <c r="E1688" s="275" t="s">
        <v>373</v>
      </c>
      <c r="F1688" s="275" t="s">
        <v>1550</v>
      </c>
      <c r="G1688" s="277" t="s">
        <v>52</v>
      </c>
      <c r="H1688" s="276">
        <v>1</v>
      </c>
      <c r="I1688" s="276" t="s">
        <v>2344</v>
      </c>
      <c r="J1688" s="777" t="s">
        <v>2344</v>
      </c>
      <c r="K1688" s="778"/>
    </row>
    <row r="1689" spans="1:11" ht="21.95" customHeight="1" x14ac:dyDescent="0.2">
      <c r="A1689" s="278" t="s">
        <v>1248</v>
      </c>
      <c r="B1689" s="278"/>
      <c r="C1689" s="279" t="s">
        <v>1864</v>
      </c>
      <c r="D1689" s="278" t="s">
        <v>1250</v>
      </c>
      <c r="E1689" s="278" t="s">
        <v>1865</v>
      </c>
      <c r="F1689" s="278" t="s">
        <v>1252</v>
      </c>
      <c r="G1689" s="280" t="s">
        <v>1253</v>
      </c>
      <c r="H1689" s="279" t="s">
        <v>1343</v>
      </c>
      <c r="I1689" s="279" t="s">
        <v>1866</v>
      </c>
      <c r="J1689" s="781">
        <v>12.38</v>
      </c>
      <c r="K1689" s="782"/>
    </row>
    <row r="1690" spans="1:11" ht="21.95" customHeight="1" x14ac:dyDescent="0.2">
      <c r="A1690" s="278" t="s">
        <v>1248</v>
      </c>
      <c r="B1690" s="278"/>
      <c r="C1690" s="279" t="s">
        <v>1273</v>
      </c>
      <c r="D1690" s="278" t="s">
        <v>1250</v>
      </c>
      <c r="E1690" s="278" t="s">
        <v>1274</v>
      </c>
      <c r="F1690" s="278" t="s">
        <v>1252</v>
      </c>
      <c r="G1690" s="280" t="s">
        <v>1253</v>
      </c>
      <c r="H1690" s="279" t="s">
        <v>1343</v>
      </c>
      <c r="I1690" s="279" t="s">
        <v>1275</v>
      </c>
      <c r="J1690" s="781">
        <v>9.7200000000000006</v>
      </c>
      <c r="K1690" s="782"/>
    </row>
    <row r="1691" spans="1:11" ht="21.95" customHeight="1" thickBot="1" x14ac:dyDescent="0.25">
      <c r="A1691" s="282" t="s">
        <v>1276</v>
      </c>
      <c r="B1691" s="282"/>
      <c r="C1691" s="283" t="s">
        <v>2345</v>
      </c>
      <c r="D1691" s="282" t="s">
        <v>1246</v>
      </c>
      <c r="E1691" s="282" t="s">
        <v>1019</v>
      </c>
      <c r="F1691" s="282" t="s">
        <v>1278</v>
      </c>
      <c r="G1691" s="284" t="s">
        <v>52</v>
      </c>
      <c r="H1691" s="283" t="s">
        <v>1262</v>
      </c>
      <c r="I1691" s="283" t="s">
        <v>2346</v>
      </c>
      <c r="J1691" s="770">
        <v>17.68</v>
      </c>
      <c r="K1691" s="771"/>
    </row>
    <row r="1692" spans="1:11" ht="0.95" customHeight="1" thickTop="1" x14ac:dyDescent="0.2">
      <c r="A1692" s="281"/>
      <c r="B1692" s="281"/>
      <c r="C1692" s="281"/>
      <c r="D1692" s="281"/>
      <c r="E1692" s="281"/>
      <c r="F1692" s="281"/>
      <c r="G1692" s="281"/>
      <c r="H1692" s="281"/>
      <c r="I1692" s="281"/>
      <c r="J1692" s="421"/>
      <c r="K1692" s="421"/>
    </row>
    <row r="1693" spans="1:11" ht="18" customHeight="1" x14ac:dyDescent="0.2">
      <c r="A1693" s="272"/>
      <c r="B1693" s="272" t="s">
        <v>54</v>
      </c>
      <c r="C1693" s="273" t="s">
        <v>1239</v>
      </c>
      <c r="D1693" s="272" t="s">
        <v>1240</v>
      </c>
      <c r="E1693" s="272" t="s">
        <v>1241</v>
      </c>
      <c r="F1693" s="272" t="s">
        <v>1242</v>
      </c>
      <c r="G1693" s="274" t="s">
        <v>60</v>
      </c>
      <c r="H1693" s="273" t="s">
        <v>58</v>
      </c>
      <c r="I1693" s="273" t="s">
        <v>1243</v>
      </c>
      <c r="J1693" s="775" t="s">
        <v>196</v>
      </c>
      <c r="K1693" s="776"/>
    </row>
    <row r="1694" spans="1:11" ht="21.95" customHeight="1" x14ac:dyDescent="0.2">
      <c r="A1694" s="275" t="s">
        <v>1244</v>
      </c>
      <c r="B1694" s="275" t="s">
        <v>4637</v>
      </c>
      <c r="C1694" s="276" t="s">
        <v>2347</v>
      </c>
      <c r="D1694" s="275" t="s">
        <v>1246</v>
      </c>
      <c r="E1694" s="275" t="s">
        <v>375</v>
      </c>
      <c r="F1694" s="275" t="s">
        <v>1550</v>
      </c>
      <c r="G1694" s="277" t="s">
        <v>52</v>
      </c>
      <c r="H1694" s="276">
        <v>1</v>
      </c>
      <c r="I1694" s="276" t="s">
        <v>2348</v>
      </c>
      <c r="J1694" s="777" t="s">
        <v>2348</v>
      </c>
      <c r="K1694" s="778"/>
    </row>
    <row r="1695" spans="1:11" ht="21.95" customHeight="1" x14ac:dyDescent="0.2">
      <c r="A1695" s="278" t="s">
        <v>1248</v>
      </c>
      <c r="B1695" s="278"/>
      <c r="C1695" s="279" t="s">
        <v>1864</v>
      </c>
      <c r="D1695" s="278" t="s">
        <v>1250</v>
      </c>
      <c r="E1695" s="278" t="s">
        <v>1865</v>
      </c>
      <c r="F1695" s="278" t="s">
        <v>1252</v>
      </c>
      <c r="G1695" s="280" t="s">
        <v>1253</v>
      </c>
      <c r="H1695" s="279" t="s">
        <v>1262</v>
      </c>
      <c r="I1695" s="279" t="s">
        <v>1866</v>
      </c>
      <c r="J1695" s="781">
        <v>17.690000000000001</v>
      </c>
      <c r="K1695" s="782"/>
    </row>
    <row r="1696" spans="1:11" ht="21.95" customHeight="1" thickBot="1" x14ac:dyDescent="0.25">
      <c r="A1696" s="282" t="s">
        <v>1276</v>
      </c>
      <c r="B1696" s="282"/>
      <c r="C1696" s="283" t="s">
        <v>2349</v>
      </c>
      <c r="D1696" s="282" t="s">
        <v>1246</v>
      </c>
      <c r="E1696" s="282" t="s">
        <v>1013</v>
      </c>
      <c r="F1696" s="282" t="s">
        <v>1278</v>
      </c>
      <c r="G1696" s="284" t="s">
        <v>52</v>
      </c>
      <c r="H1696" s="283" t="s">
        <v>1262</v>
      </c>
      <c r="I1696" s="283" t="s">
        <v>2350</v>
      </c>
      <c r="J1696" s="770">
        <v>578.96</v>
      </c>
      <c r="K1696" s="771"/>
    </row>
    <row r="1697" spans="1:11" ht="0.95" customHeight="1" thickTop="1" x14ac:dyDescent="0.2">
      <c r="A1697" s="281"/>
      <c r="B1697" s="281"/>
      <c r="C1697" s="281"/>
      <c r="D1697" s="281"/>
      <c r="E1697" s="281"/>
      <c r="F1697" s="281"/>
      <c r="G1697" s="281"/>
      <c r="H1697" s="281"/>
      <c r="I1697" s="281"/>
      <c r="J1697" s="421"/>
      <c r="K1697" s="421"/>
    </row>
    <row r="1698" spans="1:11" ht="18" customHeight="1" x14ac:dyDescent="0.2">
      <c r="A1698" s="272"/>
      <c r="B1698" s="272" t="s">
        <v>54</v>
      </c>
      <c r="C1698" s="273" t="s">
        <v>1239</v>
      </c>
      <c r="D1698" s="272" t="s">
        <v>1240</v>
      </c>
      <c r="E1698" s="272" t="s">
        <v>1241</v>
      </c>
      <c r="F1698" s="272" t="s">
        <v>1242</v>
      </c>
      <c r="G1698" s="274" t="s">
        <v>60</v>
      </c>
      <c r="H1698" s="273" t="s">
        <v>58</v>
      </c>
      <c r="I1698" s="273" t="s">
        <v>1243</v>
      </c>
      <c r="J1698" s="775" t="s">
        <v>196</v>
      </c>
      <c r="K1698" s="776"/>
    </row>
    <row r="1699" spans="1:11" ht="21.95" customHeight="1" x14ac:dyDescent="0.2">
      <c r="A1699" s="275" t="s">
        <v>1244</v>
      </c>
      <c r="B1699" s="275" t="s">
        <v>4638</v>
      </c>
      <c r="C1699" s="276" t="s">
        <v>2351</v>
      </c>
      <c r="D1699" s="275" t="s">
        <v>1246</v>
      </c>
      <c r="E1699" s="275" t="s">
        <v>377</v>
      </c>
      <c r="F1699" s="275" t="s">
        <v>1550</v>
      </c>
      <c r="G1699" s="277" t="s">
        <v>52</v>
      </c>
      <c r="H1699" s="276">
        <v>1</v>
      </c>
      <c r="I1699" s="276" t="s">
        <v>2352</v>
      </c>
      <c r="J1699" s="777" t="s">
        <v>2352</v>
      </c>
      <c r="K1699" s="778"/>
    </row>
    <row r="1700" spans="1:11" ht="21.95" customHeight="1" x14ac:dyDescent="0.2">
      <c r="A1700" s="278" t="s">
        <v>1248</v>
      </c>
      <c r="B1700" s="278"/>
      <c r="C1700" s="279" t="s">
        <v>1864</v>
      </c>
      <c r="D1700" s="278" t="s">
        <v>1250</v>
      </c>
      <c r="E1700" s="278" t="s">
        <v>1865</v>
      </c>
      <c r="F1700" s="278" t="s">
        <v>1252</v>
      </c>
      <c r="G1700" s="280" t="s">
        <v>1253</v>
      </c>
      <c r="H1700" s="279" t="s">
        <v>1985</v>
      </c>
      <c r="I1700" s="279" t="s">
        <v>1866</v>
      </c>
      <c r="J1700" s="781">
        <v>106.14</v>
      </c>
      <c r="K1700" s="782"/>
    </row>
    <row r="1701" spans="1:11" ht="21.95" customHeight="1" thickBot="1" x14ac:dyDescent="0.25">
      <c r="A1701" s="282" t="s">
        <v>1276</v>
      </c>
      <c r="B1701" s="282"/>
      <c r="C1701" s="283" t="s">
        <v>2353</v>
      </c>
      <c r="D1701" s="282" t="s">
        <v>1246</v>
      </c>
      <c r="E1701" s="282" t="s">
        <v>1012</v>
      </c>
      <c r="F1701" s="282" t="s">
        <v>1278</v>
      </c>
      <c r="G1701" s="284" t="s">
        <v>52</v>
      </c>
      <c r="H1701" s="283" t="s">
        <v>1262</v>
      </c>
      <c r="I1701" s="283" t="s">
        <v>2354</v>
      </c>
      <c r="J1701" s="770">
        <v>121.71</v>
      </c>
      <c r="K1701" s="771"/>
    </row>
    <row r="1702" spans="1:11" ht="0.95" customHeight="1" thickTop="1" x14ac:dyDescent="0.2">
      <c r="A1702" s="281"/>
      <c r="B1702" s="281"/>
      <c r="C1702" s="281"/>
      <c r="D1702" s="281"/>
      <c r="E1702" s="281"/>
      <c r="F1702" s="281"/>
      <c r="G1702" s="281"/>
      <c r="H1702" s="281"/>
      <c r="I1702" s="281"/>
      <c r="J1702" s="421"/>
      <c r="K1702" s="421"/>
    </row>
    <row r="1703" spans="1:11" ht="18" customHeight="1" x14ac:dyDescent="0.2">
      <c r="A1703" s="272"/>
      <c r="B1703" s="272" t="s">
        <v>54</v>
      </c>
      <c r="C1703" s="273" t="s">
        <v>1239</v>
      </c>
      <c r="D1703" s="272" t="s">
        <v>1240</v>
      </c>
      <c r="E1703" s="272" t="s">
        <v>1241</v>
      </c>
      <c r="F1703" s="272" t="s">
        <v>1242</v>
      </c>
      <c r="G1703" s="274" t="s">
        <v>60</v>
      </c>
      <c r="H1703" s="273" t="s">
        <v>58</v>
      </c>
      <c r="I1703" s="273" t="s">
        <v>1243</v>
      </c>
      <c r="J1703" s="775" t="s">
        <v>196</v>
      </c>
      <c r="K1703" s="776"/>
    </row>
    <row r="1704" spans="1:11" ht="21.95" customHeight="1" x14ac:dyDescent="0.2">
      <c r="A1704" s="275" t="s">
        <v>1244</v>
      </c>
      <c r="B1704" s="275" t="s">
        <v>4639</v>
      </c>
      <c r="C1704" s="276" t="s">
        <v>4640</v>
      </c>
      <c r="D1704" s="275" t="s">
        <v>1246</v>
      </c>
      <c r="E1704" s="275" t="s">
        <v>3676</v>
      </c>
      <c r="F1704" s="275" t="s">
        <v>1936</v>
      </c>
      <c r="G1704" s="277" t="s">
        <v>75</v>
      </c>
      <c r="H1704" s="276">
        <v>1</v>
      </c>
      <c r="I1704" s="276" t="s">
        <v>2381</v>
      </c>
      <c r="J1704" s="777" t="s">
        <v>2381</v>
      </c>
      <c r="K1704" s="778"/>
    </row>
    <row r="1705" spans="1:11" ht="21.95" customHeight="1" x14ac:dyDescent="0.2">
      <c r="A1705" s="278" t="s">
        <v>1248</v>
      </c>
      <c r="B1705" s="278"/>
      <c r="C1705" s="279" t="s">
        <v>1864</v>
      </c>
      <c r="D1705" s="278" t="s">
        <v>1250</v>
      </c>
      <c r="E1705" s="278" t="s">
        <v>1865</v>
      </c>
      <c r="F1705" s="278" t="s">
        <v>1252</v>
      </c>
      <c r="G1705" s="280" t="s">
        <v>1253</v>
      </c>
      <c r="H1705" s="279" t="s">
        <v>1356</v>
      </c>
      <c r="I1705" s="279" t="s">
        <v>1866</v>
      </c>
      <c r="J1705" s="781">
        <v>5.3</v>
      </c>
      <c r="K1705" s="782"/>
    </row>
    <row r="1706" spans="1:11" ht="21.95" customHeight="1" x14ac:dyDescent="0.2">
      <c r="A1706" s="278" t="s">
        <v>1248</v>
      </c>
      <c r="B1706" s="278"/>
      <c r="C1706" s="279" t="s">
        <v>1958</v>
      </c>
      <c r="D1706" s="278" t="s">
        <v>1250</v>
      </c>
      <c r="E1706" s="278" t="s">
        <v>1959</v>
      </c>
      <c r="F1706" s="278" t="s">
        <v>1252</v>
      </c>
      <c r="G1706" s="280" t="s">
        <v>1253</v>
      </c>
      <c r="H1706" s="279" t="s">
        <v>1356</v>
      </c>
      <c r="I1706" s="279" t="s">
        <v>1960</v>
      </c>
      <c r="J1706" s="781">
        <v>4.32</v>
      </c>
      <c r="K1706" s="782"/>
    </row>
    <row r="1707" spans="1:11" ht="21.95" customHeight="1" thickBot="1" x14ac:dyDescent="0.25">
      <c r="A1707" s="282" t="s">
        <v>1276</v>
      </c>
      <c r="B1707" s="282"/>
      <c r="C1707" s="283" t="s">
        <v>2382</v>
      </c>
      <c r="D1707" s="282" t="s">
        <v>1246</v>
      </c>
      <c r="E1707" s="282" t="s">
        <v>2383</v>
      </c>
      <c r="F1707" s="282" t="s">
        <v>1278</v>
      </c>
      <c r="G1707" s="284" t="s">
        <v>52</v>
      </c>
      <c r="H1707" s="283" t="s">
        <v>1486</v>
      </c>
      <c r="I1707" s="283" t="s">
        <v>2384</v>
      </c>
      <c r="J1707" s="770">
        <v>4.75</v>
      </c>
      <c r="K1707" s="771"/>
    </row>
    <row r="1708" spans="1:11" ht="0.95" customHeight="1" thickTop="1" x14ac:dyDescent="0.2">
      <c r="A1708" s="281"/>
      <c r="B1708" s="281"/>
      <c r="C1708" s="281"/>
      <c r="D1708" s="281"/>
      <c r="E1708" s="281"/>
      <c r="F1708" s="281"/>
      <c r="G1708" s="281"/>
      <c r="H1708" s="281"/>
      <c r="I1708" s="281"/>
      <c r="J1708" s="421"/>
      <c r="K1708" s="421"/>
    </row>
    <row r="1709" spans="1:11" ht="18" customHeight="1" x14ac:dyDescent="0.2">
      <c r="A1709" s="272"/>
      <c r="B1709" s="272" t="s">
        <v>54</v>
      </c>
      <c r="C1709" s="273" t="s">
        <v>1239</v>
      </c>
      <c r="D1709" s="272" t="s">
        <v>1240</v>
      </c>
      <c r="E1709" s="272" t="s">
        <v>1241</v>
      </c>
      <c r="F1709" s="272" t="s">
        <v>1242</v>
      </c>
      <c r="G1709" s="274" t="s">
        <v>60</v>
      </c>
      <c r="H1709" s="273" t="s">
        <v>58</v>
      </c>
      <c r="I1709" s="273" t="s">
        <v>1243</v>
      </c>
      <c r="J1709" s="775" t="s">
        <v>196</v>
      </c>
      <c r="K1709" s="776"/>
    </row>
    <row r="1710" spans="1:11" ht="21.95" customHeight="1" x14ac:dyDescent="0.2">
      <c r="A1710" s="275" t="s">
        <v>1244</v>
      </c>
      <c r="B1710" s="275" t="s">
        <v>4641</v>
      </c>
      <c r="C1710" s="276" t="s">
        <v>4642</v>
      </c>
      <c r="D1710" s="275" t="s">
        <v>1246</v>
      </c>
      <c r="E1710" s="275" t="s">
        <v>3678</v>
      </c>
      <c r="F1710" s="275" t="s">
        <v>1936</v>
      </c>
      <c r="G1710" s="277" t="s">
        <v>52</v>
      </c>
      <c r="H1710" s="276">
        <v>1</v>
      </c>
      <c r="I1710" s="276" t="s">
        <v>4643</v>
      </c>
      <c r="J1710" s="777" t="s">
        <v>4643</v>
      </c>
      <c r="K1710" s="778"/>
    </row>
    <row r="1711" spans="1:11" ht="21.95" customHeight="1" x14ac:dyDescent="0.2">
      <c r="A1711" s="278" t="s">
        <v>1248</v>
      </c>
      <c r="B1711" s="278"/>
      <c r="C1711" s="279" t="s">
        <v>1864</v>
      </c>
      <c r="D1711" s="278" t="s">
        <v>1250</v>
      </c>
      <c r="E1711" s="278" t="s">
        <v>1865</v>
      </c>
      <c r="F1711" s="278" t="s">
        <v>1252</v>
      </c>
      <c r="G1711" s="280" t="s">
        <v>1253</v>
      </c>
      <c r="H1711" s="279" t="s">
        <v>1352</v>
      </c>
      <c r="I1711" s="279" t="s">
        <v>1866</v>
      </c>
      <c r="J1711" s="781">
        <v>1.76</v>
      </c>
      <c r="K1711" s="782"/>
    </row>
    <row r="1712" spans="1:11" ht="21.95" customHeight="1" x14ac:dyDescent="0.2">
      <c r="A1712" s="278" t="s">
        <v>1248</v>
      </c>
      <c r="B1712" s="278"/>
      <c r="C1712" s="279" t="s">
        <v>1958</v>
      </c>
      <c r="D1712" s="278" t="s">
        <v>1250</v>
      </c>
      <c r="E1712" s="278" t="s">
        <v>1959</v>
      </c>
      <c r="F1712" s="278" t="s">
        <v>1252</v>
      </c>
      <c r="G1712" s="280" t="s">
        <v>1253</v>
      </c>
      <c r="H1712" s="279" t="s">
        <v>1553</v>
      </c>
      <c r="I1712" s="279" t="s">
        <v>1960</v>
      </c>
      <c r="J1712" s="781">
        <v>0.72</v>
      </c>
      <c r="K1712" s="782"/>
    </row>
    <row r="1713" spans="1:11" ht="21.95" customHeight="1" thickBot="1" x14ac:dyDescent="0.25">
      <c r="A1713" s="282" t="s">
        <v>1276</v>
      </c>
      <c r="B1713" s="282"/>
      <c r="C1713" s="283" t="s">
        <v>4644</v>
      </c>
      <c r="D1713" s="282" t="s">
        <v>1246</v>
      </c>
      <c r="E1713" s="282" t="s">
        <v>3678</v>
      </c>
      <c r="F1713" s="282" t="s">
        <v>1278</v>
      </c>
      <c r="G1713" s="284" t="s">
        <v>52</v>
      </c>
      <c r="H1713" s="283" t="s">
        <v>1262</v>
      </c>
      <c r="I1713" s="283" t="s">
        <v>4645</v>
      </c>
      <c r="J1713" s="770">
        <v>1.52</v>
      </c>
      <c r="K1713" s="771"/>
    </row>
    <row r="1714" spans="1:11" ht="0.95" customHeight="1" thickTop="1" x14ac:dyDescent="0.2">
      <c r="A1714" s="281"/>
      <c r="B1714" s="281"/>
      <c r="C1714" s="281"/>
      <c r="D1714" s="281"/>
      <c r="E1714" s="281"/>
      <c r="F1714" s="281"/>
      <c r="G1714" s="281"/>
      <c r="H1714" s="281"/>
      <c r="I1714" s="281"/>
      <c r="J1714" s="421"/>
      <c r="K1714" s="421"/>
    </row>
    <row r="1715" spans="1:11" ht="18" customHeight="1" x14ac:dyDescent="0.2">
      <c r="A1715" s="272"/>
      <c r="B1715" s="272" t="s">
        <v>54</v>
      </c>
      <c r="C1715" s="273" t="s">
        <v>1239</v>
      </c>
      <c r="D1715" s="272" t="s">
        <v>1240</v>
      </c>
      <c r="E1715" s="272" t="s">
        <v>1241</v>
      </c>
      <c r="F1715" s="272" t="s">
        <v>1242</v>
      </c>
      <c r="G1715" s="274" t="s">
        <v>60</v>
      </c>
      <c r="H1715" s="273" t="s">
        <v>58</v>
      </c>
      <c r="I1715" s="273" t="s">
        <v>1243</v>
      </c>
      <c r="J1715" s="775" t="s">
        <v>196</v>
      </c>
      <c r="K1715" s="776"/>
    </row>
    <row r="1716" spans="1:11" ht="21.95" customHeight="1" x14ac:dyDescent="0.2">
      <c r="A1716" s="275" t="s">
        <v>1244</v>
      </c>
      <c r="B1716" s="275" t="s">
        <v>4646</v>
      </c>
      <c r="C1716" s="276" t="s">
        <v>2363</v>
      </c>
      <c r="D1716" s="275" t="s">
        <v>1246</v>
      </c>
      <c r="E1716" s="275" t="s">
        <v>702</v>
      </c>
      <c r="F1716" s="275" t="s">
        <v>1936</v>
      </c>
      <c r="G1716" s="277" t="s">
        <v>52</v>
      </c>
      <c r="H1716" s="276">
        <v>1</v>
      </c>
      <c r="I1716" s="276" t="s">
        <v>2364</v>
      </c>
      <c r="J1716" s="777" t="s">
        <v>2364</v>
      </c>
      <c r="K1716" s="778"/>
    </row>
    <row r="1717" spans="1:11" ht="21.95" customHeight="1" x14ac:dyDescent="0.2">
      <c r="A1717" s="278" t="s">
        <v>1248</v>
      </c>
      <c r="B1717" s="278"/>
      <c r="C1717" s="279" t="s">
        <v>1864</v>
      </c>
      <c r="D1717" s="278" t="s">
        <v>1250</v>
      </c>
      <c r="E1717" s="278" t="s">
        <v>1865</v>
      </c>
      <c r="F1717" s="278" t="s">
        <v>1252</v>
      </c>
      <c r="G1717" s="280" t="s">
        <v>1253</v>
      </c>
      <c r="H1717" s="279" t="s">
        <v>1352</v>
      </c>
      <c r="I1717" s="279" t="s">
        <v>1866</v>
      </c>
      <c r="J1717" s="781">
        <v>1.76</v>
      </c>
      <c r="K1717" s="782"/>
    </row>
    <row r="1718" spans="1:11" ht="21.95" customHeight="1" x14ac:dyDescent="0.2">
      <c r="A1718" s="278" t="s">
        <v>1248</v>
      </c>
      <c r="B1718" s="278"/>
      <c r="C1718" s="279" t="s">
        <v>1958</v>
      </c>
      <c r="D1718" s="278" t="s">
        <v>1250</v>
      </c>
      <c r="E1718" s="278" t="s">
        <v>1959</v>
      </c>
      <c r="F1718" s="278" t="s">
        <v>1252</v>
      </c>
      <c r="G1718" s="280" t="s">
        <v>1253</v>
      </c>
      <c r="H1718" s="279" t="s">
        <v>1553</v>
      </c>
      <c r="I1718" s="279" t="s">
        <v>1960</v>
      </c>
      <c r="J1718" s="781">
        <v>0.72</v>
      </c>
      <c r="K1718" s="782"/>
    </row>
    <row r="1719" spans="1:11" ht="21.95" customHeight="1" thickBot="1" x14ac:dyDescent="0.25">
      <c r="A1719" s="282" t="s">
        <v>1276</v>
      </c>
      <c r="B1719" s="282"/>
      <c r="C1719" s="283" t="s">
        <v>2365</v>
      </c>
      <c r="D1719" s="282" t="s">
        <v>1246</v>
      </c>
      <c r="E1719" s="282" t="s">
        <v>702</v>
      </c>
      <c r="F1719" s="282" t="s">
        <v>1278</v>
      </c>
      <c r="G1719" s="284" t="s">
        <v>52</v>
      </c>
      <c r="H1719" s="283" t="s">
        <v>1262</v>
      </c>
      <c r="I1719" s="283" t="s">
        <v>2366</v>
      </c>
      <c r="J1719" s="770">
        <v>1.65</v>
      </c>
      <c r="K1719" s="771"/>
    </row>
    <row r="1720" spans="1:11" ht="0.95" customHeight="1" thickTop="1" x14ac:dyDescent="0.2">
      <c r="A1720" s="281"/>
      <c r="B1720" s="281"/>
      <c r="C1720" s="281"/>
      <c r="D1720" s="281"/>
      <c r="E1720" s="281"/>
      <c r="F1720" s="281"/>
      <c r="G1720" s="281"/>
      <c r="H1720" s="281"/>
      <c r="I1720" s="281"/>
      <c r="J1720" s="421"/>
      <c r="K1720" s="421"/>
    </row>
    <row r="1721" spans="1:11" ht="18" customHeight="1" x14ac:dyDescent="0.2">
      <c r="A1721" s="272"/>
      <c r="B1721" s="272" t="s">
        <v>54</v>
      </c>
      <c r="C1721" s="273" t="s">
        <v>1239</v>
      </c>
      <c r="D1721" s="272" t="s">
        <v>1240</v>
      </c>
      <c r="E1721" s="272" t="s">
        <v>1241</v>
      </c>
      <c r="F1721" s="272" t="s">
        <v>1242</v>
      </c>
      <c r="G1721" s="274" t="s">
        <v>60</v>
      </c>
      <c r="H1721" s="273" t="s">
        <v>58</v>
      </c>
      <c r="I1721" s="273" t="s">
        <v>1243</v>
      </c>
      <c r="J1721" s="775" t="s">
        <v>196</v>
      </c>
      <c r="K1721" s="776"/>
    </row>
    <row r="1722" spans="1:11" ht="21.95" customHeight="1" x14ac:dyDescent="0.2">
      <c r="A1722" s="275" t="s">
        <v>1244</v>
      </c>
      <c r="B1722" s="275" t="s">
        <v>4647</v>
      </c>
      <c r="C1722" s="276" t="s">
        <v>2367</v>
      </c>
      <c r="D1722" s="275" t="s">
        <v>1246</v>
      </c>
      <c r="E1722" s="275" t="s">
        <v>704</v>
      </c>
      <c r="F1722" s="275" t="s">
        <v>1936</v>
      </c>
      <c r="G1722" s="277" t="s">
        <v>52</v>
      </c>
      <c r="H1722" s="276">
        <v>1</v>
      </c>
      <c r="I1722" s="276" t="s">
        <v>2368</v>
      </c>
      <c r="J1722" s="777" t="s">
        <v>2368</v>
      </c>
      <c r="K1722" s="778"/>
    </row>
    <row r="1723" spans="1:11" ht="21.95" customHeight="1" x14ac:dyDescent="0.2">
      <c r="A1723" s="278" t="s">
        <v>1248</v>
      </c>
      <c r="B1723" s="278"/>
      <c r="C1723" s="279" t="s">
        <v>1864</v>
      </c>
      <c r="D1723" s="278" t="s">
        <v>1250</v>
      </c>
      <c r="E1723" s="278" t="s">
        <v>1865</v>
      </c>
      <c r="F1723" s="278" t="s">
        <v>1252</v>
      </c>
      <c r="G1723" s="280" t="s">
        <v>1253</v>
      </c>
      <c r="H1723" s="279" t="s">
        <v>1346</v>
      </c>
      <c r="I1723" s="279" t="s">
        <v>1866</v>
      </c>
      <c r="J1723" s="781">
        <v>7.07</v>
      </c>
      <c r="K1723" s="782"/>
    </row>
    <row r="1724" spans="1:11" ht="21.95" customHeight="1" x14ac:dyDescent="0.2">
      <c r="A1724" s="278" t="s">
        <v>1248</v>
      </c>
      <c r="B1724" s="278"/>
      <c r="C1724" s="279" t="s">
        <v>1958</v>
      </c>
      <c r="D1724" s="278" t="s">
        <v>1250</v>
      </c>
      <c r="E1724" s="278" t="s">
        <v>1959</v>
      </c>
      <c r="F1724" s="278" t="s">
        <v>1252</v>
      </c>
      <c r="G1724" s="280" t="s">
        <v>1253</v>
      </c>
      <c r="H1724" s="279" t="s">
        <v>1619</v>
      </c>
      <c r="I1724" s="279" t="s">
        <v>1960</v>
      </c>
      <c r="J1724" s="781">
        <v>2.88</v>
      </c>
      <c r="K1724" s="782"/>
    </row>
    <row r="1725" spans="1:11" ht="21.95" customHeight="1" thickBot="1" x14ac:dyDescent="0.25">
      <c r="A1725" s="282" t="s">
        <v>1276</v>
      </c>
      <c r="B1725" s="282"/>
      <c r="C1725" s="283" t="s">
        <v>2369</v>
      </c>
      <c r="D1725" s="282" t="s">
        <v>1246</v>
      </c>
      <c r="E1725" s="282" t="s">
        <v>914</v>
      </c>
      <c r="F1725" s="282" t="s">
        <v>1278</v>
      </c>
      <c r="G1725" s="284" t="s">
        <v>2370</v>
      </c>
      <c r="H1725" s="283" t="s">
        <v>1262</v>
      </c>
      <c r="I1725" s="283" t="s">
        <v>2370</v>
      </c>
      <c r="J1725" s="770">
        <v>4.47</v>
      </c>
      <c r="K1725" s="771"/>
    </row>
    <row r="1726" spans="1:11" ht="0.95" customHeight="1" thickTop="1" x14ac:dyDescent="0.2">
      <c r="A1726" s="281"/>
      <c r="B1726" s="281"/>
      <c r="C1726" s="281"/>
      <c r="D1726" s="281"/>
      <c r="E1726" s="281"/>
      <c r="F1726" s="281"/>
      <c r="G1726" s="281"/>
      <c r="H1726" s="281"/>
      <c r="I1726" s="281"/>
      <c r="J1726" s="421"/>
      <c r="K1726" s="421"/>
    </row>
    <row r="1727" spans="1:11" ht="18" customHeight="1" x14ac:dyDescent="0.2">
      <c r="A1727" s="272"/>
      <c r="B1727" s="272" t="s">
        <v>54</v>
      </c>
      <c r="C1727" s="273" t="s">
        <v>1239</v>
      </c>
      <c r="D1727" s="272" t="s">
        <v>1240</v>
      </c>
      <c r="E1727" s="272" t="s">
        <v>1241</v>
      </c>
      <c r="F1727" s="272" t="s">
        <v>1242</v>
      </c>
      <c r="G1727" s="274" t="s">
        <v>60</v>
      </c>
      <c r="H1727" s="273" t="s">
        <v>58</v>
      </c>
      <c r="I1727" s="273" t="s">
        <v>1243</v>
      </c>
      <c r="J1727" s="775" t="s">
        <v>196</v>
      </c>
      <c r="K1727" s="776"/>
    </row>
    <row r="1728" spans="1:11" ht="21.95" customHeight="1" x14ac:dyDescent="0.2">
      <c r="A1728" s="275" t="s">
        <v>1244</v>
      </c>
      <c r="B1728" s="275" t="s">
        <v>4648</v>
      </c>
      <c r="C1728" s="276" t="s">
        <v>4649</v>
      </c>
      <c r="D1728" s="275" t="s">
        <v>1246</v>
      </c>
      <c r="E1728" s="275" t="s">
        <v>3680</v>
      </c>
      <c r="F1728" s="275" t="s">
        <v>1936</v>
      </c>
      <c r="G1728" s="277" t="s">
        <v>52</v>
      </c>
      <c r="H1728" s="276">
        <v>1</v>
      </c>
      <c r="I1728" s="276" t="s">
        <v>4650</v>
      </c>
      <c r="J1728" s="777" t="s">
        <v>4650</v>
      </c>
      <c r="K1728" s="778"/>
    </row>
    <row r="1729" spans="1:11" ht="21.95" customHeight="1" x14ac:dyDescent="0.2">
      <c r="A1729" s="278" t="s">
        <v>1248</v>
      </c>
      <c r="B1729" s="278"/>
      <c r="C1729" s="279" t="s">
        <v>1958</v>
      </c>
      <c r="D1729" s="278" t="s">
        <v>1250</v>
      </c>
      <c r="E1729" s="278" t="s">
        <v>1959</v>
      </c>
      <c r="F1729" s="278" t="s">
        <v>1252</v>
      </c>
      <c r="G1729" s="280" t="s">
        <v>1253</v>
      </c>
      <c r="H1729" s="279" t="s">
        <v>1341</v>
      </c>
      <c r="I1729" s="279" t="s">
        <v>1960</v>
      </c>
      <c r="J1729" s="781">
        <v>3.6</v>
      </c>
      <c r="K1729" s="782"/>
    </row>
    <row r="1730" spans="1:11" ht="21.95" customHeight="1" thickBot="1" x14ac:dyDescent="0.25">
      <c r="A1730" s="282" t="s">
        <v>1276</v>
      </c>
      <c r="B1730" s="282"/>
      <c r="C1730" s="283" t="s">
        <v>4651</v>
      </c>
      <c r="D1730" s="282" t="s">
        <v>1250</v>
      </c>
      <c r="E1730" s="282" t="s">
        <v>3680</v>
      </c>
      <c r="F1730" s="282" t="s">
        <v>1278</v>
      </c>
      <c r="G1730" s="284" t="s">
        <v>52</v>
      </c>
      <c r="H1730" s="283" t="s">
        <v>1262</v>
      </c>
      <c r="I1730" s="283" t="s">
        <v>4652</v>
      </c>
      <c r="J1730" s="770">
        <v>0.92</v>
      </c>
      <c r="K1730" s="771"/>
    </row>
    <row r="1731" spans="1:11" ht="0.95" customHeight="1" thickTop="1" x14ac:dyDescent="0.2">
      <c r="A1731" s="281"/>
      <c r="B1731" s="281"/>
      <c r="C1731" s="281"/>
      <c r="D1731" s="281"/>
      <c r="E1731" s="281"/>
      <c r="F1731" s="281"/>
      <c r="G1731" s="281"/>
      <c r="H1731" s="281"/>
      <c r="I1731" s="281"/>
      <c r="J1731" s="421"/>
      <c r="K1731" s="421"/>
    </row>
    <row r="1732" spans="1:11" ht="18" customHeight="1" x14ac:dyDescent="0.2">
      <c r="A1732" s="272"/>
      <c r="B1732" s="272" t="s">
        <v>54</v>
      </c>
      <c r="C1732" s="273" t="s">
        <v>1239</v>
      </c>
      <c r="D1732" s="272" t="s">
        <v>1240</v>
      </c>
      <c r="E1732" s="272" t="s">
        <v>1241</v>
      </c>
      <c r="F1732" s="272" t="s">
        <v>1242</v>
      </c>
      <c r="G1732" s="274" t="s">
        <v>60</v>
      </c>
      <c r="H1732" s="273" t="s">
        <v>58</v>
      </c>
      <c r="I1732" s="273" t="s">
        <v>1243</v>
      </c>
      <c r="J1732" s="775" t="s">
        <v>196</v>
      </c>
      <c r="K1732" s="776"/>
    </row>
    <row r="1733" spans="1:11" ht="21.95" customHeight="1" x14ac:dyDescent="0.2">
      <c r="A1733" s="275" t="s">
        <v>1244</v>
      </c>
      <c r="B1733" s="275" t="s">
        <v>4653</v>
      </c>
      <c r="C1733" s="276" t="s">
        <v>2030</v>
      </c>
      <c r="D1733" s="275" t="s">
        <v>1246</v>
      </c>
      <c r="E1733" s="275" t="s">
        <v>363</v>
      </c>
      <c r="F1733" s="275" t="s">
        <v>1936</v>
      </c>
      <c r="G1733" s="277" t="s">
        <v>52</v>
      </c>
      <c r="H1733" s="276">
        <v>1</v>
      </c>
      <c r="I1733" s="276" t="s">
        <v>1590</v>
      </c>
      <c r="J1733" s="777" t="s">
        <v>1590</v>
      </c>
      <c r="K1733" s="778"/>
    </row>
    <row r="1734" spans="1:11" ht="21.95" customHeight="1" x14ac:dyDescent="0.2">
      <c r="A1734" s="278" t="s">
        <v>1248</v>
      </c>
      <c r="B1734" s="278"/>
      <c r="C1734" s="279" t="s">
        <v>1958</v>
      </c>
      <c r="D1734" s="278" t="s">
        <v>1250</v>
      </c>
      <c r="E1734" s="278" t="s">
        <v>1959</v>
      </c>
      <c r="F1734" s="278" t="s">
        <v>1252</v>
      </c>
      <c r="G1734" s="280" t="s">
        <v>1253</v>
      </c>
      <c r="H1734" s="279" t="s">
        <v>1341</v>
      </c>
      <c r="I1734" s="279" t="s">
        <v>1960</v>
      </c>
      <c r="J1734" s="781">
        <v>3.6</v>
      </c>
      <c r="K1734" s="782"/>
    </row>
    <row r="1735" spans="1:11" ht="21.95" customHeight="1" thickBot="1" x14ac:dyDescent="0.25">
      <c r="A1735" s="282" t="s">
        <v>1276</v>
      </c>
      <c r="B1735" s="282"/>
      <c r="C1735" s="283" t="s">
        <v>2031</v>
      </c>
      <c r="D1735" s="282" t="s">
        <v>1250</v>
      </c>
      <c r="E1735" s="282" t="s">
        <v>2032</v>
      </c>
      <c r="F1735" s="282" t="s">
        <v>1278</v>
      </c>
      <c r="G1735" s="284" t="s">
        <v>52</v>
      </c>
      <c r="H1735" s="283" t="s">
        <v>1262</v>
      </c>
      <c r="I1735" s="283" t="s">
        <v>2011</v>
      </c>
      <c r="J1735" s="770">
        <v>0.98</v>
      </c>
      <c r="K1735" s="771"/>
    </row>
    <row r="1736" spans="1:11" ht="0.95" customHeight="1" thickTop="1" x14ac:dyDescent="0.2">
      <c r="A1736" s="281"/>
      <c r="B1736" s="281"/>
      <c r="C1736" s="281"/>
      <c r="D1736" s="281"/>
      <c r="E1736" s="281"/>
      <c r="F1736" s="281"/>
      <c r="G1736" s="281"/>
      <c r="H1736" s="281"/>
      <c r="I1736" s="281"/>
      <c r="J1736" s="421"/>
      <c r="K1736" s="421"/>
    </row>
    <row r="1737" spans="1:11" ht="18" customHeight="1" x14ac:dyDescent="0.2">
      <c r="A1737" s="272"/>
      <c r="B1737" s="272" t="s">
        <v>54</v>
      </c>
      <c r="C1737" s="273" t="s">
        <v>1239</v>
      </c>
      <c r="D1737" s="272" t="s">
        <v>1240</v>
      </c>
      <c r="E1737" s="272" t="s">
        <v>1241</v>
      </c>
      <c r="F1737" s="272" t="s">
        <v>1242</v>
      </c>
      <c r="G1737" s="274" t="s">
        <v>60</v>
      </c>
      <c r="H1737" s="273" t="s">
        <v>58</v>
      </c>
      <c r="I1737" s="273" t="s">
        <v>1243</v>
      </c>
      <c r="J1737" s="775" t="s">
        <v>196</v>
      </c>
      <c r="K1737" s="776"/>
    </row>
    <row r="1738" spans="1:11" ht="21.95" customHeight="1" x14ac:dyDescent="0.2">
      <c r="A1738" s="275" t="s">
        <v>1244</v>
      </c>
      <c r="B1738" s="275" t="s">
        <v>4654</v>
      </c>
      <c r="C1738" s="276" t="s">
        <v>2371</v>
      </c>
      <c r="D1738" s="275" t="s">
        <v>1246</v>
      </c>
      <c r="E1738" s="275" t="s">
        <v>423</v>
      </c>
      <c r="F1738" s="275" t="s">
        <v>1936</v>
      </c>
      <c r="G1738" s="277" t="s">
        <v>52</v>
      </c>
      <c r="H1738" s="276">
        <v>1</v>
      </c>
      <c r="I1738" s="276" t="s">
        <v>2372</v>
      </c>
      <c r="J1738" s="777" t="s">
        <v>2372</v>
      </c>
      <c r="K1738" s="778"/>
    </row>
    <row r="1739" spans="1:11" ht="21.95" customHeight="1" x14ac:dyDescent="0.2">
      <c r="A1739" s="278" t="s">
        <v>1248</v>
      </c>
      <c r="B1739" s="278"/>
      <c r="C1739" s="279" t="s">
        <v>1864</v>
      </c>
      <c r="D1739" s="278" t="s">
        <v>1250</v>
      </c>
      <c r="E1739" s="278" t="s">
        <v>1865</v>
      </c>
      <c r="F1739" s="278" t="s">
        <v>1252</v>
      </c>
      <c r="G1739" s="280" t="s">
        <v>1253</v>
      </c>
      <c r="H1739" s="279" t="s">
        <v>1356</v>
      </c>
      <c r="I1739" s="279" t="s">
        <v>1866</v>
      </c>
      <c r="J1739" s="781">
        <v>5.3</v>
      </c>
      <c r="K1739" s="782"/>
    </row>
    <row r="1740" spans="1:11" ht="21.95" customHeight="1" x14ac:dyDescent="0.2">
      <c r="A1740" s="278" t="s">
        <v>1248</v>
      </c>
      <c r="B1740" s="278"/>
      <c r="C1740" s="279" t="s">
        <v>1958</v>
      </c>
      <c r="D1740" s="278" t="s">
        <v>1250</v>
      </c>
      <c r="E1740" s="278" t="s">
        <v>1959</v>
      </c>
      <c r="F1740" s="278" t="s">
        <v>1252</v>
      </c>
      <c r="G1740" s="280" t="s">
        <v>1253</v>
      </c>
      <c r="H1740" s="279" t="s">
        <v>1356</v>
      </c>
      <c r="I1740" s="279" t="s">
        <v>1960</v>
      </c>
      <c r="J1740" s="781">
        <v>4.32</v>
      </c>
      <c r="K1740" s="782"/>
    </row>
    <row r="1741" spans="1:11" ht="21.95" customHeight="1" thickBot="1" x14ac:dyDescent="0.25">
      <c r="A1741" s="282" t="s">
        <v>1276</v>
      </c>
      <c r="B1741" s="282"/>
      <c r="C1741" s="283" t="s">
        <v>2373</v>
      </c>
      <c r="D1741" s="282" t="s">
        <v>1250</v>
      </c>
      <c r="E1741" s="282" t="s">
        <v>2374</v>
      </c>
      <c r="F1741" s="282" t="s">
        <v>1278</v>
      </c>
      <c r="G1741" s="284" t="s">
        <v>52</v>
      </c>
      <c r="H1741" s="283" t="s">
        <v>1262</v>
      </c>
      <c r="I1741" s="283" t="s">
        <v>2375</v>
      </c>
      <c r="J1741" s="770">
        <v>16.04</v>
      </c>
      <c r="K1741" s="771"/>
    </row>
    <row r="1742" spans="1:11" ht="0.95" customHeight="1" thickTop="1" x14ac:dyDescent="0.2">
      <c r="A1742" s="281"/>
      <c r="B1742" s="281"/>
      <c r="C1742" s="281"/>
      <c r="D1742" s="281"/>
      <c r="E1742" s="281"/>
      <c r="F1742" s="281"/>
      <c r="G1742" s="281"/>
      <c r="H1742" s="281"/>
      <c r="I1742" s="281"/>
      <c r="J1742" s="421"/>
      <c r="K1742" s="421"/>
    </row>
    <row r="1743" spans="1:11" ht="18" customHeight="1" x14ac:dyDescent="0.2">
      <c r="A1743" s="272"/>
      <c r="B1743" s="272" t="s">
        <v>54</v>
      </c>
      <c r="C1743" s="273" t="s">
        <v>1239</v>
      </c>
      <c r="D1743" s="272" t="s">
        <v>1240</v>
      </c>
      <c r="E1743" s="272" t="s">
        <v>1241</v>
      </c>
      <c r="F1743" s="272" t="s">
        <v>1242</v>
      </c>
      <c r="G1743" s="274" t="s">
        <v>60</v>
      </c>
      <c r="H1743" s="273" t="s">
        <v>58</v>
      </c>
      <c r="I1743" s="273" t="s">
        <v>1243</v>
      </c>
      <c r="J1743" s="775" t="s">
        <v>196</v>
      </c>
      <c r="K1743" s="776"/>
    </row>
    <row r="1744" spans="1:11" ht="44.1" customHeight="1" x14ac:dyDescent="0.2">
      <c r="A1744" s="275" t="s">
        <v>1244</v>
      </c>
      <c r="B1744" s="275" t="s">
        <v>4655</v>
      </c>
      <c r="C1744" s="276" t="s">
        <v>2355</v>
      </c>
      <c r="D1744" s="275" t="s">
        <v>1246</v>
      </c>
      <c r="E1744" s="275" t="s">
        <v>379</v>
      </c>
      <c r="F1744" s="275" t="s">
        <v>1550</v>
      </c>
      <c r="G1744" s="277" t="s">
        <v>52</v>
      </c>
      <c r="H1744" s="276">
        <v>1</v>
      </c>
      <c r="I1744" s="276" t="s">
        <v>2356</v>
      </c>
      <c r="J1744" s="777" t="s">
        <v>2356</v>
      </c>
      <c r="K1744" s="778"/>
    </row>
    <row r="1745" spans="1:11" ht="21.95" customHeight="1" x14ac:dyDescent="0.2">
      <c r="A1745" s="278" t="s">
        <v>1248</v>
      </c>
      <c r="B1745" s="278"/>
      <c r="C1745" s="279" t="s">
        <v>1269</v>
      </c>
      <c r="D1745" s="278" t="s">
        <v>1250</v>
      </c>
      <c r="E1745" s="278" t="s">
        <v>1270</v>
      </c>
      <c r="F1745" s="278" t="s">
        <v>1252</v>
      </c>
      <c r="G1745" s="280" t="s">
        <v>1253</v>
      </c>
      <c r="H1745" s="279" t="s">
        <v>1619</v>
      </c>
      <c r="I1745" s="279" t="s">
        <v>1272</v>
      </c>
      <c r="J1745" s="781">
        <v>3.41</v>
      </c>
      <c r="K1745" s="782"/>
    </row>
    <row r="1746" spans="1:11" ht="21.95" customHeight="1" x14ac:dyDescent="0.2">
      <c r="A1746" s="278" t="s">
        <v>1248</v>
      </c>
      <c r="B1746" s="278"/>
      <c r="C1746" s="279" t="s">
        <v>1273</v>
      </c>
      <c r="D1746" s="278" t="s">
        <v>1250</v>
      </c>
      <c r="E1746" s="278" t="s">
        <v>1274</v>
      </c>
      <c r="F1746" s="278" t="s">
        <v>1252</v>
      </c>
      <c r="G1746" s="280" t="s">
        <v>1253</v>
      </c>
      <c r="H1746" s="279" t="s">
        <v>1619</v>
      </c>
      <c r="I1746" s="279" t="s">
        <v>1275</v>
      </c>
      <c r="J1746" s="781">
        <v>2.77</v>
      </c>
      <c r="K1746" s="782"/>
    </row>
    <row r="1747" spans="1:11" ht="44.1" customHeight="1" thickBot="1" x14ac:dyDescent="0.25">
      <c r="A1747" s="282" t="s">
        <v>1276</v>
      </c>
      <c r="B1747" s="282"/>
      <c r="C1747" s="283" t="s">
        <v>2357</v>
      </c>
      <c r="D1747" s="282" t="s">
        <v>1250</v>
      </c>
      <c r="E1747" s="282" t="s">
        <v>379</v>
      </c>
      <c r="F1747" s="282" t="s">
        <v>1278</v>
      </c>
      <c r="G1747" s="284" t="s">
        <v>52</v>
      </c>
      <c r="H1747" s="283" t="s">
        <v>1262</v>
      </c>
      <c r="I1747" s="283" t="s">
        <v>2358</v>
      </c>
      <c r="J1747" s="770">
        <v>15.22</v>
      </c>
      <c r="K1747" s="771"/>
    </row>
    <row r="1748" spans="1:11" ht="0.95" customHeight="1" thickTop="1" x14ac:dyDescent="0.2">
      <c r="A1748" s="281"/>
      <c r="B1748" s="281"/>
      <c r="C1748" s="281"/>
      <c r="D1748" s="281"/>
      <c r="E1748" s="281"/>
      <c r="F1748" s="281"/>
      <c r="G1748" s="281"/>
      <c r="H1748" s="281"/>
      <c r="I1748" s="281"/>
      <c r="J1748" s="421"/>
      <c r="K1748" s="421"/>
    </row>
    <row r="1749" spans="1:11" ht="18" customHeight="1" x14ac:dyDescent="0.2">
      <c r="A1749" s="272"/>
      <c r="B1749" s="272" t="s">
        <v>54</v>
      </c>
      <c r="C1749" s="273" t="s">
        <v>1239</v>
      </c>
      <c r="D1749" s="272" t="s">
        <v>1240</v>
      </c>
      <c r="E1749" s="272" t="s">
        <v>1241</v>
      </c>
      <c r="F1749" s="272" t="s">
        <v>1242</v>
      </c>
      <c r="G1749" s="274" t="s">
        <v>60</v>
      </c>
      <c r="H1749" s="273" t="s">
        <v>58</v>
      </c>
      <c r="I1749" s="273" t="s">
        <v>1243</v>
      </c>
      <c r="J1749" s="775" t="s">
        <v>196</v>
      </c>
      <c r="K1749" s="776"/>
    </row>
    <row r="1750" spans="1:11" ht="21.95" customHeight="1" x14ac:dyDescent="0.2">
      <c r="A1750" s="275" t="s">
        <v>1244</v>
      </c>
      <c r="B1750" s="275" t="s">
        <v>4656</v>
      </c>
      <c r="C1750" s="276" t="s">
        <v>4657</v>
      </c>
      <c r="D1750" s="275" t="s">
        <v>1246</v>
      </c>
      <c r="E1750" s="275" t="s">
        <v>3682</v>
      </c>
      <c r="F1750" s="275" t="s">
        <v>1936</v>
      </c>
      <c r="G1750" s="277" t="s">
        <v>52</v>
      </c>
      <c r="H1750" s="276">
        <v>1</v>
      </c>
      <c r="I1750" s="276" t="s">
        <v>4658</v>
      </c>
      <c r="J1750" s="777" t="s">
        <v>4658</v>
      </c>
      <c r="K1750" s="778"/>
    </row>
    <row r="1751" spans="1:11" ht="21.95" customHeight="1" x14ac:dyDescent="0.2">
      <c r="A1751" s="278" t="s">
        <v>1248</v>
      </c>
      <c r="B1751" s="278"/>
      <c r="C1751" s="279" t="s">
        <v>1864</v>
      </c>
      <c r="D1751" s="278" t="s">
        <v>1250</v>
      </c>
      <c r="E1751" s="278" t="s">
        <v>1865</v>
      </c>
      <c r="F1751" s="278" t="s">
        <v>1252</v>
      </c>
      <c r="G1751" s="280" t="s">
        <v>1253</v>
      </c>
      <c r="H1751" s="279" t="s">
        <v>1430</v>
      </c>
      <c r="I1751" s="279" t="s">
        <v>1866</v>
      </c>
      <c r="J1751" s="781">
        <v>1.06</v>
      </c>
      <c r="K1751" s="782"/>
    </row>
    <row r="1752" spans="1:11" ht="21.95" customHeight="1" x14ac:dyDescent="0.2">
      <c r="A1752" s="278" t="s">
        <v>1248</v>
      </c>
      <c r="B1752" s="278"/>
      <c r="C1752" s="279" t="s">
        <v>1958</v>
      </c>
      <c r="D1752" s="278" t="s">
        <v>1250</v>
      </c>
      <c r="E1752" s="278" t="s">
        <v>1959</v>
      </c>
      <c r="F1752" s="278" t="s">
        <v>1252</v>
      </c>
      <c r="G1752" s="280" t="s">
        <v>1253</v>
      </c>
      <c r="H1752" s="279" t="s">
        <v>1430</v>
      </c>
      <c r="I1752" s="279" t="s">
        <v>1960</v>
      </c>
      <c r="J1752" s="781">
        <v>0.86</v>
      </c>
      <c r="K1752" s="782"/>
    </row>
    <row r="1753" spans="1:11" ht="21.95" customHeight="1" thickBot="1" x14ac:dyDescent="0.25">
      <c r="A1753" s="282" t="s">
        <v>1276</v>
      </c>
      <c r="B1753" s="282"/>
      <c r="C1753" s="283" t="s">
        <v>4659</v>
      </c>
      <c r="D1753" s="282" t="s">
        <v>1250</v>
      </c>
      <c r="E1753" s="282" t="s">
        <v>3682</v>
      </c>
      <c r="F1753" s="282" t="s">
        <v>1278</v>
      </c>
      <c r="G1753" s="284" t="s">
        <v>52</v>
      </c>
      <c r="H1753" s="283" t="s">
        <v>1262</v>
      </c>
      <c r="I1753" s="283" t="s">
        <v>4660</v>
      </c>
      <c r="J1753" s="770">
        <v>1.61</v>
      </c>
      <c r="K1753" s="771"/>
    </row>
    <row r="1754" spans="1:11" ht="0.95" customHeight="1" thickTop="1" x14ac:dyDescent="0.2">
      <c r="A1754" s="281"/>
      <c r="B1754" s="281"/>
      <c r="C1754" s="281"/>
      <c r="D1754" s="281"/>
      <c r="E1754" s="281"/>
      <c r="F1754" s="281"/>
      <c r="G1754" s="281"/>
      <c r="H1754" s="281"/>
      <c r="I1754" s="281"/>
      <c r="J1754" s="421"/>
      <c r="K1754" s="421"/>
    </row>
    <row r="1755" spans="1:11" ht="18" customHeight="1" x14ac:dyDescent="0.2">
      <c r="A1755" s="272"/>
      <c r="B1755" s="272" t="s">
        <v>54</v>
      </c>
      <c r="C1755" s="273" t="s">
        <v>1239</v>
      </c>
      <c r="D1755" s="272" t="s">
        <v>1240</v>
      </c>
      <c r="E1755" s="272" t="s">
        <v>1241</v>
      </c>
      <c r="F1755" s="272" t="s">
        <v>1242</v>
      </c>
      <c r="G1755" s="274" t="s">
        <v>60</v>
      </c>
      <c r="H1755" s="273" t="s">
        <v>58</v>
      </c>
      <c r="I1755" s="273" t="s">
        <v>1243</v>
      </c>
      <c r="J1755" s="775" t="s">
        <v>196</v>
      </c>
      <c r="K1755" s="776"/>
    </row>
    <row r="1756" spans="1:11" ht="21.95" customHeight="1" x14ac:dyDescent="0.2">
      <c r="A1756" s="275" t="s">
        <v>1244</v>
      </c>
      <c r="B1756" s="275" t="s">
        <v>4661</v>
      </c>
      <c r="C1756" s="276" t="s">
        <v>4662</v>
      </c>
      <c r="D1756" s="275" t="s">
        <v>1246</v>
      </c>
      <c r="E1756" s="275" t="s">
        <v>3684</v>
      </c>
      <c r="F1756" s="275" t="s">
        <v>1936</v>
      </c>
      <c r="G1756" s="277" t="s">
        <v>52</v>
      </c>
      <c r="H1756" s="276">
        <v>1</v>
      </c>
      <c r="I1756" s="276" t="s">
        <v>4643</v>
      </c>
      <c r="J1756" s="777" t="s">
        <v>4643</v>
      </c>
      <c r="K1756" s="778"/>
    </row>
    <row r="1757" spans="1:11" ht="21.95" customHeight="1" x14ac:dyDescent="0.2">
      <c r="A1757" s="278" t="s">
        <v>1248</v>
      </c>
      <c r="B1757" s="278"/>
      <c r="C1757" s="279" t="s">
        <v>1864</v>
      </c>
      <c r="D1757" s="278" t="s">
        <v>1250</v>
      </c>
      <c r="E1757" s="278" t="s">
        <v>1865</v>
      </c>
      <c r="F1757" s="278" t="s">
        <v>1252</v>
      </c>
      <c r="G1757" s="280" t="s">
        <v>1253</v>
      </c>
      <c r="H1757" s="279" t="s">
        <v>1352</v>
      </c>
      <c r="I1757" s="279" t="s">
        <v>1866</v>
      </c>
      <c r="J1757" s="781">
        <v>1.76</v>
      </c>
      <c r="K1757" s="782"/>
    </row>
    <row r="1758" spans="1:11" ht="21.95" customHeight="1" thickBot="1" x14ac:dyDescent="0.25">
      <c r="A1758" s="282" t="s">
        <v>1276</v>
      </c>
      <c r="B1758" s="282"/>
      <c r="C1758" s="283" t="s">
        <v>4663</v>
      </c>
      <c r="D1758" s="282" t="s">
        <v>1246</v>
      </c>
      <c r="E1758" s="282" t="s">
        <v>3845</v>
      </c>
      <c r="F1758" s="282" t="s">
        <v>1278</v>
      </c>
      <c r="G1758" s="284" t="s">
        <v>52</v>
      </c>
      <c r="H1758" s="283" t="s">
        <v>1262</v>
      </c>
      <c r="I1758" s="283" t="s">
        <v>4361</v>
      </c>
      <c r="J1758" s="770">
        <v>2.2400000000000002</v>
      </c>
      <c r="K1758" s="771"/>
    </row>
    <row r="1759" spans="1:11" ht="0.95" customHeight="1" thickTop="1" x14ac:dyDescent="0.2">
      <c r="A1759" s="281"/>
      <c r="B1759" s="281"/>
      <c r="C1759" s="281"/>
      <c r="D1759" s="281"/>
      <c r="E1759" s="281"/>
      <c r="F1759" s="281"/>
      <c r="G1759" s="281"/>
      <c r="H1759" s="281"/>
      <c r="I1759" s="281"/>
      <c r="J1759" s="421"/>
      <c r="K1759" s="421"/>
    </row>
    <row r="1760" spans="1:11" ht="18" customHeight="1" x14ac:dyDescent="0.2">
      <c r="A1760" s="272"/>
      <c r="B1760" s="272" t="s">
        <v>54</v>
      </c>
      <c r="C1760" s="273" t="s">
        <v>1239</v>
      </c>
      <c r="D1760" s="272" t="s">
        <v>1240</v>
      </c>
      <c r="E1760" s="272" t="s">
        <v>1241</v>
      </c>
      <c r="F1760" s="272" t="s">
        <v>1242</v>
      </c>
      <c r="G1760" s="274" t="s">
        <v>60</v>
      </c>
      <c r="H1760" s="273" t="s">
        <v>58</v>
      </c>
      <c r="I1760" s="273" t="s">
        <v>1243</v>
      </c>
      <c r="J1760" s="775" t="s">
        <v>196</v>
      </c>
      <c r="K1760" s="776"/>
    </row>
    <row r="1761" spans="1:11" ht="21.95" customHeight="1" x14ac:dyDescent="0.2">
      <c r="A1761" s="275" t="s">
        <v>1244</v>
      </c>
      <c r="B1761" s="275" t="s">
        <v>4664</v>
      </c>
      <c r="C1761" s="276" t="s">
        <v>2376</v>
      </c>
      <c r="D1761" s="275" t="s">
        <v>1246</v>
      </c>
      <c r="E1761" s="275" t="s">
        <v>707</v>
      </c>
      <c r="F1761" s="275" t="s">
        <v>1936</v>
      </c>
      <c r="G1761" s="277" t="s">
        <v>52</v>
      </c>
      <c r="H1761" s="276">
        <v>1</v>
      </c>
      <c r="I1761" s="276" t="s">
        <v>2377</v>
      </c>
      <c r="J1761" s="777" t="s">
        <v>2377</v>
      </c>
      <c r="K1761" s="778"/>
    </row>
    <row r="1762" spans="1:11" ht="21.95" customHeight="1" x14ac:dyDescent="0.2">
      <c r="A1762" s="278" t="s">
        <v>1248</v>
      </c>
      <c r="B1762" s="278"/>
      <c r="C1762" s="279" t="s">
        <v>1864</v>
      </c>
      <c r="D1762" s="278" t="s">
        <v>1250</v>
      </c>
      <c r="E1762" s="278" t="s">
        <v>1865</v>
      </c>
      <c r="F1762" s="278" t="s">
        <v>1252</v>
      </c>
      <c r="G1762" s="280" t="s">
        <v>1253</v>
      </c>
      <c r="H1762" s="279" t="s">
        <v>1352</v>
      </c>
      <c r="I1762" s="279" t="s">
        <v>1866</v>
      </c>
      <c r="J1762" s="781">
        <v>1.76</v>
      </c>
      <c r="K1762" s="782"/>
    </row>
    <row r="1763" spans="1:11" ht="21.95" customHeight="1" thickBot="1" x14ac:dyDescent="0.25">
      <c r="A1763" s="282" t="s">
        <v>1276</v>
      </c>
      <c r="B1763" s="282"/>
      <c r="C1763" s="283" t="s">
        <v>2378</v>
      </c>
      <c r="D1763" s="282" t="s">
        <v>1246</v>
      </c>
      <c r="E1763" s="282" t="s">
        <v>915</v>
      </c>
      <c r="F1763" s="282" t="s">
        <v>1278</v>
      </c>
      <c r="G1763" s="284" t="s">
        <v>52</v>
      </c>
      <c r="H1763" s="283" t="s">
        <v>1977</v>
      </c>
      <c r="I1763" s="283" t="s">
        <v>2379</v>
      </c>
      <c r="J1763" s="770">
        <v>3.3</v>
      </c>
      <c r="K1763" s="771"/>
    </row>
    <row r="1764" spans="1:11" ht="0.95" customHeight="1" thickTop="1" x14ac:dyDescent="0.2">
      <c r="A1764" s="281"/>
      <c r="B1764" s="281"/>
      <c r="C1764" s="281"/>
      <c r="D1764" s="281"/>
      <c r="E1764" s="281"/>
      <c r="F1764" s="281"/>
      <c r="G1764" s="281"/>
      <c r="H1764" s="281"/>
      <c r="I1764" s="281"/>
      <c r="J1764" s="421"/>
      <c r="K1764" s="421"/>
    </row>
    <row r="1765" spans="1:11" ht="18" customHeight="1" x14ac:dyDescent="0.2">
      <c r="A1765" s="272"/>
      <c r="B1765" s="272" t="s">
        <v>54</v>
      </c>
      <c r="C1765" s="273" t="s">
        <v>1239</v>
      </c>
      <c r="D1765" s="272" t="s">
        <v>1240</v>
      </c>
      <c r="E1765" s="272" t="s">
        <v>1241</v>
      </c>
      <c r="F1765" s="272" t="s">
        <v>1242</v>
      </c>
      <c r="G1765" s="274" t="s">
        <v>60</v>
      </c>
      <c r="H1765" s="273" t="s">
        <v>58</v>
      </c>
      <c r="I1765" s="273" t="s">
        <v>1243</v>
      </c>
      <c r="J1765" s="775" t="s">
        <v>196</v>
      </c>
      <c r="K1765" s="776"/>
    </row>
    <row r="1766" spans="1:11" ht="21.95" customHeight="1" x14ac:dyDescent="0.2">
      <c r="A1766" s="275" t="s">
        <v>1244</v>
      </c>
      <c r="B1766" s="275" t="s">
        <v>4665</v>
      </c>
      <c r="C1766" s="276" t="s">
        <v>4666</v>
      </c>
      <c r="D1766" s="275" t="s">
        <v>1246</v>
      </c>
      <c r="E1766" s="275" t="s">
        <v>3745</v>
      </c>
      <c r="F1766" s="275" t="s">
        <v>1550</v>
      </c>
      <c r="G1766" s="277" t="s">
        <v>52</v>
      </c>
      <c r="H1766" s="276">
        <v>1</v>
      </c>
      <c r="I1766" s="276" t="s">
        <v>4667</v>
      </c>
      <c r="J1766" s="777" t="s">
        <v>4667</v>
      </c>
      <c r="K1766" s="778"/>
    </row>
    <row r="1767" spans="1:11" ht="21.95" customHeight="1" x14ac:dyDescent="0.2">
      <c r="A1767" s="278" t="s">
        <v>1248</v>
      </c>
      <c r="B1767" s="278"/>
      <c r="C1767" s="279" t="s">
        <v>1288</v>
      </c>
      <c r="D1767" s="278" t="s">
        <v>1250</v>
      </c>
      <c r="E1767" s="278" t="s">
        <v>1289</v>
      </c>
      <c r="F1767" s="278" t="s">
        <v>1252</v>
      </c>
      <c r="G1767" s="280" t="s">
        <v>1253</v>
      </c>
      <c r="H1767" s="279" t="s">
        <v>1341</v>
      </c>
      <c r="I1767" s="279" t="s">
        <v>1291</v>
      </c>
      <c r="J1767" s="781">
        <v>3.56</v>
      </c>
      <c r="K1767" s="782"/>
    </row>
    <row r="1768" spans="1:11" ht="33" customHeight="1" thickBot="1" x14ac:dyDescent="0.25">
      <c r="A1768" s="282" t="s">
        <v>1276</v>
      </c>
      <c r="B1768" s="282"/>
      <c r="C1768" s="283" t="s">
        <v>4668</v>
      </c>
      <c r="D1768" s="282" t="s">
        <v>1250</v>
      </c>
      <c r="E1768" s="282" t="s">
        <v>4669</v>
      </c>
      <c r="F1768" s="282" t="s">
        <v>1278</v>
      </c>
      <c r="G1768" s="284" t="s">
        <v>52</v>
      </c>
      <c r="H1768" s="283" t="s">
        <v>1262</v>
      </c>
      <c r="I1768" s="283" t="s">
        <v>4670</v>
      </c>
      <c r="J1768" s="770">
        <v>655.29999999999995</v>
      </c>
      <c r="K1768" s="771"/>
    </row>
    <row r="1769" spans="1:11" ht="0.95" customHeight="1" thickTop="1" x14ac:dyDescent="0.2">
      <c r="A1769" s="281"/>
      <c r="B1769" s="281"/>
      <c r="C1769" s="281"/>
      <c r="D1769" s="281"/>
      <c r="E1769" s="281"/>
      <c r="F1769" s="281"/>
      <c r="G1769" s="281"/>
      <c r="H1769" s="281"/>
      <c r="I1769" s="281"/>
      <c r="J1769" s="421"/>
      <c r="K1769" s="421"/>
    </row>
    <row r="1770" spans="1:11" ht="18" customHeight="1" x14ac:dyDescent="0.2">
      <c r="A1770" s="272"/>
      <c r="B1770" s="272" t="s">
        <v>54</v>
      </c>
      <c r="C1770" s="273" t="s">
        <v>1239</v>
      </c>
      <c r="D1770" s="272" t="s">
        <v>1240</v>
      </c>
      <c r="E1770" s="272" t="s">
        <v>1241</v>
      </c>
      <c r="F1770" s="272" t="s">
        <v>1242</v>
      </c>
      <c r="G1770" s="274" t="s">
        <v>60</v>
      </c>
      <c r="H1770" s="273" t="s">
        <v>58</v>
      </c>
      <c r="I1770" s="273" t="s">
        <v>1243</v>
      </c>
      <c r="J1770" s="775" t="s">
        <v>196</v>
      </c>
      <c r="K1770" s="776"/>
    </row>
    <row r="1771" spans="1:11" ht="33" customHeight="1" x14ac:dyDescent="0.2">
      <c r="A1771" s="275" t="s">
        <v>1244</v>
      </c>
      <c r="B1771" s="275" t="s">
        <v>4671</v>
      </c>
      <c r="C1771" s="276" t="s">
        <v>2385</v>
      </c>
      <c r="D1771" s="275" t="s">
        <v>1246</v>
      </c>
      <c r="E1771" s="275" t="s">
        <v>713</v>
      </c>
      <c r="F1771" s="275" t="s">
        <v>1550</v>
      </c>
      <c r="G1771" s="277" t="s">
        <v>52</v>
      </c>
      <c r="H1771" s="276">
        <v>1</v>
      </c>
      <c r="I1771" s="276" t="s">
        <v>2386</v>
      </c>
      <c r="J1771" s="777" t="s">
        <v>2386</v>
      </c>
      <c r="K1771" s="778"/>
    </row>
    <row r="1772" spans="1:11" ht="21.95" customHeight="1" x14ac:dyDescent="0.2">
      <c r="A1772" s="278" t="s">
        <v>1248</v>
      </c>
      <c r="B1772" s="278"/>
      <c r="C1772" s="279" t="s">
        <v>1292</v>
      </c>
      <c r="D1772" s="278" t="s">
        <v>1250</v>
      </c>
      <c r="E1772" s="278" t="s">
        <v>1293</v>
      </c>
      <c r="F1772" s="278" t="s">
        <v>1252</v>
      </c>
      <c r="G1772" s="280" t="s">
        <v>1253</v>
      </c>
      <c r="H1772" s="279" t="s">
        <v>2387</v>
      </c>
      <c r="I1772" s="279" t="s">
        <v>1295</v>
      </c>
      <c r="J1772" s="781">
        <v>20.11</v>
      </c>
      <c r="K1772" s="782"/>
    </row>
    <row r="1773" spans="1:11" ht="21.95" customHeight="1" x14ac:dyDescent="0.2">
      <c r="A1773" s="278" t="s">
        <v>1248</v>
      </c>
      <c r="B1773" s="278"/>
      <c r="C1773" s="279" t="s">
        <v>1273</v>
      </c>
      <c r="D1773" s="278" t="s">
        <v>1250</v>
      </c>
      <c r="E1773" s="278" t="s">
        <v>1274</v>
      </c>
      <c r="F1773" s="278" t="s">
        <v>1252</v>
      </c>
      <c r="G1773" s="280" t="s">
        <v>1253</v>
      </c>
      <c r="H1773" s="279" t="s">
        <v>2387</v>
      </c>
      <c r="I1773" s="279" t="s">
        <v>1275</v>
      </c>
      <c r="J1773" s="781">
        <v>15.97</v>
      </c>
      <c r="K1773" s="782"/>
    </row>
    <row r="1774" spans="1:11" ht="33" customHeight="1" x14ac:dyDescent="0.2">
      <c r="A1774" s="282" t="s">
        <v>1276</v>
      </c>
      <c r="B1774" s="282"/>
      <c r="C1774" s="283" t="s">
        <v>2388</v>
      </c>
      <c r="D1774" s="282" t="s">
        <v>1250</v>
      </c>
      <c r="E1774" s="282" t="s">
        <v>2389</v>
      </c>
      <c r="F1774" s="282" t="s">
        <v>1278</v>
      </c>
      <c r="G1774" s="284" t="s">
        <v>52</v>
      </c>
      <c r="H1774" s="283" t="s">
        <v>1262</v>
      </c>
      <c r="I1774" s="283" t="s">
        <v>2390</v>
      </c>
      <c r="J1774" s="779">
        <v>77.16</v>
      </c>
      <c r="K1774" s="780"/>
    </row>
    <row r="1775" spans="1:11" ht="21.95" customHeight="1" x14ac:dyDescent="0.2">
      <c r="A1775" s="282" t="s">
        <v>1276</v>
      </c>
      <c r="B1775" s="282"/>
      <c r="C1775" s="283" t="s">
        <v>1928</v>
      </c>
      <c r="D1775" s="282" t="s">
        <v>1250</v>
      </c>
      <c r="E1775" s="282" t="s">
        <v>1929</v>
      </c>
      <c r="F1775" s="282" t="s">
        <v>1278</v>
      </c>
      <c r="G1775" s="284" t="s">
        <v>52</v>
      </c>
      <c r="H1775" s="283" t="s">
        <v>2391</v>
      </c>
      <c r="I1775" s="283" t="s">
        <v>1931</v>
      </c>
      <c r="J1775" s="779">
        <v>0.78</v>
      </c>
      <c r="K1775" s="780"/>
    </row>
    <row r="1776" spans="1:11" ht="33" customHeight="1" thickBot="1" x14ac:dyDescent="0.25">
      <c r="A1776" s="282" t="s">
        <v>1276</v>
      </c>
      <c r="B1776" s="282"/>
      <c r="C1776" s="283" t="s">
        <v>2392</v>
      </c>
      <c r="D1776" s="282" t="s">
        <v>1250</v>
      </c>
      <c r="E1776" s="282" t="s">
        <v>2393</v>
      </c>
      <c r="F1776" s="282" t="s">
        <v>1278</v>
      </c>
      <c r="G1776" s="284" t="s">
        <v>52</v>
      </c>
      <c r="H1776" s="283" t="s">
        <v>1262</v>
      </c>
      <c r="I1776" s="283" t="s">
        <v>2394</v>
      </c>
      <c r="J1776" s="770">
        <v>49.19</v>
      </c>
      <c r="K1776" s="771"/>
    </row>
    <row r="1777" spans="1:11" ht="0.95" customHeight="1" thickTop="1" x14ac:dyDescent="0.2">
      <c r="A1777" s="281"/>
      <c r="B1777" s="281"/>
      <c r="C1777" s="281"/>
      <c r="D1777" s="281"/>
      <c r="E1777" s="281"/>
      <c r="F1777" s="281"/>
      <c r="G1777" s="281"/>
      <c r="H1777" s="281"/>
      <c r="I1777" s="281"/>
      <c r="J1777" s="421"/>
      <c r="K1777" s="421"/>
    </row>
    <row r="1778" spans="1:11" ht="18" customHeight="1" x14ac:dyDescent="0.2">
      <c r="A1778" s="272"/>
      <c r="B1778" s="272" t="s">
        <v>54</v>
      </c>
      <c r="C1778" s="273" t="s">
        <v>1239</v>
      </c>
      <c r="D1778" s="272" t="s">
        <v>1240</v>
      </c>
      <c r="E1778" s="272" t="s">
        <v>1241</v>
      </c>
      <c r="F1778" s="272" t="s">
        <v>1242</v>
      </c>
      <c r="G1778" s="274" t="s">
        <v>60</v>
      </c>
      <c r="H1778" s="273" t="s">
        <v>58</v>
      </c>
      <c r="I1778" s="273" t="s">
        <v>1243</v>
      </c>
      <c r="J1778" s="775" t="s">
        <v>196</v>
      </c>
      <c r="K1778" s="776"/>
    </row>
    <row r="1779" spans="1:11" ht="21.95" customHeight="1" x14ac:dyDescent="0.2">
      <c r="A1779" s="275" t="s">
        <v>1244</v>
      </c>
      <c r="B1779" s="275" t="s">
        <v>4672</v>
      </c>
      <c r="C1779" s="276" t="s">
        <v>2395</v>
      </c>
      <c r="D1779" s="275" t="s">
        <v>1246</v>
      </c>
      <c r="E1779" s="275" t="s">
        <v>715</v>
      </c>
      <c r="F1779" s="275" t="s">
        <v>1550</v>
      </c>
      <c r="G1779" s="277" t="s">
        <v>52</v>
      </c>
      <c r="H1779" s="276">
        <v>1</v>
      </c>
      <c r="I1779" s="276" t="s">
        <v>2396</v>
      </c>
      <c r="J1779" s="777" t="s">
        <v>2396</v>
      </c>
      <c r="K1779" s="778"/>
    </row>
    <row r="1780" spans="1:11" ht="21.95" customHeight="1" x14ac:dyDescent="0.2">
      <c r="A1780" s="278" t="s">
        <v>1248</v>
      </c>
      <c r="B1780" s="278"/>
      <c r="C1780" s="279" t="s">
        <v>1292</v>
      </c>
      <c r="D1780" s="278" t="s">
        <v>1250</v>
      </c>
      <c r="E1780" s="278" t="s">
        <v>1293</v>
      </c>
      <c r="F1780" s="278" t="s">
        <v>1252</v>
      </c>
      <c r="G1780" s="280" t="s">
        <v>1253</v>
      </c>
      <c r="H1780" s="279" t="s">
        <v>2387</v>
      </c>
      <c r="I1780" s="279" t="s">
        <v>1295</v>
      </c>
      <c r="J1780" s="781">
        <v>20.11</v>
      </c>
      <c r="K1780" s="782"/>
    </row>
    <row r="1781" spans="1:11" ht="21.95" customHeight="1" x14ac:dyDescent="0.2">
      <c r="A1781" s="278" t="s">
        <v>1248</v>
      </c>
      <c r="B1781" s="278"/>
      <c r="C1781" s="279" t="s">
        <v>1273</v>
      </c>
      <c r="D1781" s="278" t="s">
        <v>1250</v>
      </c>
      <c r="E1781" s="278" t="s">
        <v>1274</v>
      </c>
      <c r="F1781" s="278" t="s">
        <v>1252</v>
      </c>
      <c r="G1781" s="280" t="s">
        <v>1253</v>
      </c>
      <c r="H1781" s="279" t="s">
        <v>2387</v>
      </c>
      <c r="I1781" s="279" t="s">
        <v>1275</v>
      </c>
      <c r="J1781" s="781">
        <v>15.97</v>
      </c>
      <c r="K1781" s="782"/>
    </row>
    <row r="1782" spans="1:11" ht="21.95" customHeight="1" x14ac:dyDescent="0.2">
      <c r="A1782" s="282" t="s">
        <v>1276</v>
      </c>
      <c r="B1782" s="282"/>
      <c r="C1782" s="283" t="s">
        <v>1928</v>
      </c>
      <c r="D1782" s="282" t="s">
        <v>1250</v>
      </c>
      <c r="E1782" s="282" t="s">
        <v>1929</v>
      </c>
      <c r="F1782" s="282" t="s">
        <v>1278</v>
      </c>
      <c r="G1782" s="284" t="s">
        <v>52</v>
      </c>
      <c r="H1782" s="283" t="s">
        <v>2391</v>
      </c>
      <c r="I1782" s="283" t="s">
        <v>1931</v>
      </c>
      <c r="J1782" s="779">
        <v>0.78</v>
      </c>
      <c r="K1782" s="780"/>
    </row>
    <row r="1783" spans="1:11" ht="33" customHeight="1" thickBot="1" x14ac:dyDescent="0.25">
      <c r="A1783" s="282" t="s">
        <v>1276</v>
      </c>
      <c r="B1783" s="282"/>
      <c r="C1783" s="283" t="s">
        <v>2397</v>
      </c>
      <c r="D1783" s="282" t="s">
        <v>1250</v>
      </c>
      <c r="E1783" s="282" t="s">
        <v>2398</v>
      </c>
      <c r="F1783" s="282" t="s">
        <v>1278</v>
      </c>
      <c r="G1783" s="284" t="s">
        <v>52</v>
      </c>
      <c r="H1783" s="283" t="s">
        <v>1262</v>
      </c>
      <c r="I1783" s="283" t="s">
        <v>2399</v>
      </c>
      <c r="J1783" s="770">
        <v>49.08</v>
      </c>
      <c r="K1783" s="771"/>
    </row>
    <row r="1784" spans="1:11" ht="0.95" customHeight="1" thickTop="1" x14ac:dyDescent="0.2">
      <c r="A1784" s="281"/>
      <c r="B1784" s="281"/>
      <c r="C1784" s="281"/>
      <c r="D1784" s="281"/>
      <c r="E1784" s="281"/>
      <c r="F1784" s="281"/>
      <c r="G1784" s="281"/>
      <c r="H1784" s="281"/>
      <c r="I1784" s="281"/>
      <c r="J1784" s="421"/>
      <c r="K1784" s="421"/>
    </row>
    <row r="1785" spans="1:11" ht="18" customHeight="1" x14ac:dyDescent="0.2">
      <c r="A1785" s="272"/>
      <c r="B1785" s="272" t="s">
        <v>54</v>
      </c>
      <c r="C1785" s="273" t="s">
        <v>1239</v>
      </c>
      <c r="D1785" s="272" t="s">
        <v>1240</v>
      </c>
      <c r="E1785" s="272" t="s">
        <v>1241</v>
      </c>
      <c r="F1785" s="272" t="s">
        <v>1242</v>
      </c>
      <c r="G1785" s="274" t="s">
        <v>60</v>
      </c>
      <c r="H1785" s="273" t="s">
        <v>58</v>
      </c>
      <c r="I1785" s="273" t="s">
        <v>1243</v>
      </c>
      <c r="J1785" s="775" t="s">
        <v>196</v>
      </c>
      <c r="K1785" s="776"/>
    </row>
    <row r="1786" spans="1:11" ht="21.95" customHeight="1" x14ac:dyDescent="0.2">
      <c r="A1786" s="275" t="s">
        <v>1244</v>
      </c>
      <c r="B1786" s="275" t="s">
        <v>4673</v>
      </c>
      <c r="C1786" s="276" t="s">
        <v>2400</v>
      </c>
      <c r="D1786" s="275" t="s">
        <v>1246</v>
      </c>
      <c r="E1786" s="275" t="s">
        <v>717</v>
      </c>
      <c r="F1786" s="275" t="s">
        <v>1550</v>
      </c>
      <c r="G1786" s="277" t="s">
        <v>52</v>
      </c>
      <c r="H1786" s="276">
        <v>1</v>
      </c>
      <c r="I1786" s="276" t="s">
        <v>2401</v>
      </c>
      <c r="J1786" s="777" t="s">
        <v>2401</v>
      </c>
      <c r="K1786" s="778"/>
    </row>
    <row r="1787" spans="1:11" ht="21.95" customHeight="1" x14ac:dyDescent="0.2">
      <c r="A1787" s="278" t="s">
        <v>1248</v>
      </c>
      <c r="B1787" s="278"/>
      <c r="C1787" s="279" t="s">
        <v>1292</v>
      </c>
      <c r="D1787" s="278" t="s">
        <v>1250</v>
      </c>
      <c r="E1787" s="278" t="s">
        <v>1293</v>
      </c>
      <c r="F1787" s="278" t="s">
        <v>1252</v>
      </c>
      <c r="G1787" s="280" t="s">
        <v>1253</v>
      </c>
      <c r="H1787" s="279" t="s">
        <v>1411</v>
      </c>
      <c r="I1787" s="279" t="s">
        <v>1295</v>
      </c>
      <c r="J1787" s="781">
        <v>1.92</v>
      </c>
      <c r="K1787" s="782"/>
    </row>
    <row r="1788" spans="1:11" ht="21.95" customHeight="1" x14ac:dyDescent="0.2">
      <c r="A1788" s="278" t="s">
        <v>1248</v>
      </c>
      <c r="B1788" s="278"/>
      <c r="C1788" s="279" t="s">
        <v>1273</v>
      </c>
      <c r="D1788" s="278" t="s">
        <v>1250</v>
      </c>
      <c r="E1788" s="278" t="s">
        <v>1274</v>
      </c>
      <c r="F1788" s="278" t="s">
        <v>1252</v>
      </c>
      <c r="G1788" s="280" t="s">
        <v>1253</v>
      </c>
      <c r="H1788" s="279" t="s">
        <v>1411</v>
      </c>
      <c r="I1788" s="279" t="s">
        <v>1275</v>
      </c>
      <c r="J1788" s="781">
        <v>1.52</v>
      </c>
      <c r="K1788" s="782"/>
    </row>
    <row r="1789" spans="1:11" ht="33" customHeight="1" thickBot="1" x14ac:dyDescent="0.25">
      <c r="A1789" s="282" t="s">
        <v>1276</v>
      </c>
      <c r="B1789" s="282"/>
      <c r="C1789" s="283" t="s">
        <v>2402</v>
      </c>
      <c r="D1789" s="282" t="s">
        <v>1250</v>
      </c>
      <c r="E1789" s="282" t="s">
        <v>2403</v>
      </c>
      <c r="F1789" s="282" t="s">
        <v>1278</v>
      </c>
      <c r="G1789" s="284" t="s">
        <v>52</v>
      </c>
      <c r="H1789" s="283" t="s">
        <v>1262</v>
      </c>
      <c r="I1789" s="283" t="s">
        <v>2404</v>
      </c>
      <c r="J1789" s="770">
        <v>11.99</v>
      </c>
      <c r="K1789" s="771"/>
    </row>
    <row r="1790" spans="1:11" ht="0.95" customHeight="1" thickTop="1" x14ac:dyDescent="0.2">
      <c r="A1790" s="281"/>
      <c r="B1790" s="281"/>
      <c r="C1790" s="281"/>
      <c r="D1790" s="281"/>
      <c r="E1790" s="281"/>
      <c r="F1790" s="281"/>
      <c r="G1790" s="281"/>
      <c r="H1790" s="281"/>
      <c r="I1790" s="281"/>
      <c r="J1790" s="421"/>
      <c r="K1790" s="421"/>
    </row>
    <row r="1791" spans="1:11" ht="18" customHeight="1" x14ac:dyDescent="0.2">
      <c r="A1791" s="272"/>
      <c r="B1791" s="272" t="s">
        <v>54</v>
      </c>
      <c r="C1791" s="273" t="s">
        <v>1239</v>
      </c>
      <c r="D1791" s="272" t="s">
        <v>1240</v>
      </c>
      <c r="E1791" s="272" t="s">
        <v>1241</v>
      </c>
      <c r="F1791" s="272" t="s">
        <v>1242</v>
      </c>
      <c r="G1791" s="274" t="s">
        <v>60</v>
      </c>
      <c r="H1791" s="273" t="s">
        <v>58</v>
      </c>
      <c r="I1791" s="273" t="s">
        <v>1243</v>
      </c>
      <c r="J1791" s="775" t="s">
        <v>196</v>
      </c>
      <c r="K1791" s="776"/>
    </row>
    <row r="1792" spans="1:11" ht="21.95" customHeight="1" x14ac:dyDescent="0.2">
      <c r="A1792" s="275" t="s">
        <v>1244</v>
      </c>
      <c r="B1792" s="275" t="s">
        <v>4674</v>
      </c>
      <c r="C1792" s="276" t="s">
        <v>2405</v>
      </c>
      <c r="D1792" s="275" t="s">
        <v>1246</v>
      </c>
      <c r="E1792" s="275" t="s">
        <v>719</v>
      </c>
      <c r="F1792" s="275" t="s">
        <v>1550</v>
      </c>
      <c r="G1792" s="277" t="s">
        <v>60</v>
      </c>
      <c r="H1792" s="276">
        <v>1</v>
      </c>
      <c r="I1792" s="276" t="s">
        <v>2406</v>
      </c>
      <c r="J1792" s="777" t="s">
        <v>2406</v>
      </c>
      <c r="K1792" s="778"/>
    </row>
    <row r="1793" spans="1:11" ht="21.95" customHeight="1" x14ac:dyDescent="0.2">
      <c r="A1793" s="278" t="s">
        <v>1248</v>
      </c>
      <c r="B1793" s="278"/>
      <c r="C1793" s="279" t="s">
        <v>1292</v>
      </c>
      <c r="D1793" s="278" t="s">
        <v>1250</v>
      </c>
      <c r="E1793" s="278" t="s">
        <v>1293</v>
      </c>
      <c r="F1793" s="278" t="s">
        <v>1252</v>
      </c>
      <c r="G1793" s="280" t="s">
        <v>1253</v>
      </c>
      <c r="H1793" s="279" t="s">
        <v>1396</v>
      </c>
      <c r="I1793" s="279" t="s">
        <v>1295</v>
      </c>
      <c r="J1793" s="781">
        <v>16.61</v>
      </c>
      <c r="K1793" s="782"/>
    </row>
    <row r="1794" spans="1:11" ht="21.95" customHeight="1" x14ac:dyDescent="0.2">
      <c r="A1794" s="278" t="s">
        <v>1248</v>
      </c>
      <c r="B1794" s="278"/>
      <c r="C1794" s="279" t="s">
        <v>1288</v>
      </c>
      <c r="D1794" s="278" t="s">
        <v>1250</v>
      </c>
      <c r="E1794" s="278" t="s">
        <v>1289</v>
      </c>
      <c r="F1794" s="278" t="s">
        <v>1252</v>
      </c>
      <c r="G1794" s="280" t="s">
        <v>1253</v>
      </c>
      <c r="H1794" s="279" t="s">
        <v>1396</v>
      </c>
      <c r="I1794" s="279" t="s">
        <v>1291</v>
      </c>
      <c r="J1794" s="781">
        <v>13.54</v>
      </c>
      <c r="K1794" s="782"/>
    </row>
    <row r="1795" spans="1:11" ht="21.95" customHeight="1" x14ac:dyDescent="0.2">
      <c r="A1795" s="282" t="s">
        <v>1276</v>
      </c>
      <c r="B1795" s="282"/>
      <c r="C1795" s="283" t="s">
        <v>2407</v>
      </c>
      <c r="D1795" s="282" t="s">
        <v>1250</v>
      </c>
      <c r="E1795" s="282" t="s">
        <v>2408</v>
      </c>
      <c r="F1795" s="282" t="s">
        <v>1278</v>
      </c>
      <c r="G1795" s="284" t="s">
        <v>52</v>
      </c>
      <c r="H1795" s="283" t="s">
        <v>1800</v>
      </c>
      <c r="I1795" s="283" t="s">
        <v>2409</v>
      </c>
      <c r="J1795" s="779">
        <v>0.27</v>
      </c>
      <c r="K1795" s="780"/>
    </row>
    <row r="1796" spans="1:11" ht="21.95" customHeight="1" x14ac:dyDescent="0.2">
      <c r="A1796" s="282" t="s">
        <v>1276</v>
      </c>
      <c r="B1796" s="282"/>
      <c r="C1796" s="283" t="s">
        <v>1462</v>
      </c>
      <c r="D1796" s="282" t="s">
        <v>1250</v>
      </c>
      <c r="E1796" s="282" t="s">
        <v>1463</v>
      </c>
      <c r="F1796" s="282" t="s">
        <v>1278</v>
      </c>
      <c r="G1796" s="284" t="s">
        <v>749</v>
      </c>
      <c r="H1796" s="283" t="s">
        <v>1450</v>
      </c>
      <c r="I1796" s="283" t="s">
        <v>1465</v>
      </c>
      <c r="J1796" s="779">
        <v>0.05</v>
      </c>
      <c r="K1796" s="780"/>
    </row>
    <row r="1797" spans="1:11" ht="21.95" customHeight="1" thickBot="1" x14ac:dyDescent="0.25">
      <c r="A1797" s="282" t="s">
        <v>1276</v>
      </c>
      <c r="B1797" s="282"/>
      <c r="C1797" s="283" t="s">
        <v>2410</v>
      </c>
      <c r="D1797" s="282" t="s">
        <v>1246</v>
      </c>
      <c r="E1797" s="282" t="s">
        <v>719</v>
      </c>
      <c r="F1797" s="282" t="s">
        <v>1278</v>
      </c>
      <c r="G1797" s="284" t="s">
        <v>5</v>
      </c>
      <c r="H1797" s="283" t="s">
        <v>1262</v>
      </c>
      <c r="I1797" s="283" t="s">
        <v>2411</v>
      </c>
      <c r="J1797" s="770">
        <v>35.82</v>
      </c>
      <c r="K1797" s="771"/>
    </row>
    <row r="1798" spans="1:11" ht="0.95" customHeight="1" thickTop="1" x14ac:dyDescent="0.2">
      <c r="A1798" s="281"/>
      <c r="B1798" s="281"/>
      <c r="C1798" s="281"/>
      <c r="D1798" s="281"/>
      <c r="E1798" s="281"/>
      <c r="F1798" s="281"/>
      <c r="G1798" s="281"/>
      <c r="H1798" s="281"/>
      <c r="I1798" s="281"/>
      <c r="J1798" s="421"/>
      <c r="K1798" s="421"/>
    </row>
    <row r="1799" spans="1:11" ht="18" customHeight="1" x14ac:dyDescent="0.2">
      <c r="A1799" s="272"/>
      <c r="B1799" s="272" t="s">
        <v>54</v>
      </c>
      <c r="C1799" s="273" t="s">
        <v>1239</v>
      </c>
      <c r="D1799" s="272" t="s">
        <v>1240</v>
      </c>
      <c r="E1799" s="272" t="s">
        <v>1241</v>
      </c>
      <c r="F1799" s="272" t="s">
        <v>1242</v>
      </c>
      <c r="G1799" s="274" t="s">
        <v>60</v>
      </c>
      <c r="H1799" s="273" t="s">
        <v>58</v>
      </c>
      <c r="I1799" s="273" t="s">
        <v>1243</v>
      </c>
      <c r="J1799" s="775" t="s">
        <v>196</v>
      </c>
      <c r="K1799" s="776"/>
    </row>
    <row r="1800" spans="1:11" ht="33" customHeight="1" x14ac:dyDescent="0.2">
      <c r="A1800" s="275" t="s">
        <v>1244</v>
      </c>
      <c r="B1800" s="275" t="s">
        <v>4675</v>
      </c>
      <c r="C1800" s="276" t="s">
        <v>2385</v>
      </c>
      <c r="D1800" s="275" t="s">
        <v>1246</v>
      </c>
      <c r="E1800" s="275" t="s">
        <v>713</v>
      </c>
      <c r="F1800" s="275" t="s">
        <v>1550</v>
      </c>
      <c r="G1800" s="277" t="s">
        <v>52</v>
      </c>
      <c r="H1800" s="276">
        <v>1</v>
      </c>
      <c r="I1800" s="276" t="s">
        <v>2386</v>
      </c>
      <c r="J1800" s="777" t="s">
        <v>2386</v>
      </c>
      <c r="K1800" s="778"/>
    </row>
    <row r="1801" spans="1:11" ht="21.95" customHeight="1" x14ac:dyDescent="0.2">
      <c r="A1801" s="278" t="s">
        <v>1248</v>
      </c>
      <c r="B1801" s="278"/>
      <c r="C1801" s="279" t="s">
        <v>1292</v>
      </c>
      <c r="D1801" s="278" t="s">
        <v>1250</v>
      </c>
      <c r="E1801" s="278" t="s">
        <v>1293</v>
      </c>
      <c r="F1801" s="278" t="s">
        <v>1252</v>
      </c>
      <c r="G1801" s="280" t="s">
        <v>1253</v>
      </c>
      <c r="H1801" s="279" t="s">
        <v>2387</v>
      </c>
      <c r="I1801" s="279" t="s">
        <v>1295</v>
      </c>
      <c r="J1801" s="781">
        <v>20.11</v>
      </c>
      <c r="K1801" s="782"/>
    </row>
    <row r="1802" spans="1:11" ht="21.95" customHeight="1" x14ac:dyDescent="0.2">
      <c r="A1802" s="278" t="s">
        <v>1248</v>
      </c>
      <c r="B1802" s="278"/>
      <c r="C1802" s="279" t="s">
        <v>1273</v>
      </c>
      <c r="D1802" s="278" t="s">
        <v>1250</v>
      </c>
      <c r="E1802" s="278" t="s">
        <v>1274</v>
      </c>
      <c r="F1802" s="278" t="s">
        <v>1252</v>
      </c>
      <c r="G1802" s="280" t="s">
        <v>1253</v>
      </c>
      <c r="H1802" s="279" t="s">
        <v>2387</v>
      </c>
      <c r="I1802" s="279" t="s">
        <v>1275</v>
      </c>
      <c r="J1802" s="781">
        <v>15.97</v>
      </c>
      <c r="K1802" s="782"/>
    </row>
    <row r="1803" spans="1:11" ht="33" customHeight="1" x14ac:dyDescent="0.2">
      <c r="A1803" s="282" t="s">
        <v>1276</v>
      </c>
      <c r="B1803" s="282"/>
      <c r="C1803" s="283" t="s">
        <v>2388</v>
      </c>
      <c r="D1803" s="282" t="s">
        <v>1250</v>
      </c>
      <c r="E1803" s="282" t="s">
        <v>2389</v>
      </c>
      <c r="F1803" s="282" t="s">
        <v>1278</v>
      </c>
      <c r="G1803" s="284" t="s">
        <v>52</v>
      </c>
      <c r="H1803" s="283" t="s">
        <v>1262</v>
      </c>
      <c r="I1803" s="283" t="s">
        <v>2390</v>
      </c>
      <c r="J1803" s="779">
        <v>77.16</v>
      </c>
      <c r="K1803" s="780"/>
    </row>
    <row r="1804" spans="1:11" ht="21.95" customHeight="1" x14ac:dyDescent="0.2">
      <c r="A1804" s="282" t="s">
        <v>1276</v>
      </c>
      <c r="B1804" s="282"/>
      <c r="C1804" s="283" t="s">
        <v>1928</v>
      </c>
      <c r="D1804" s="282" t="s">
        <v>1250</v>
      </c>
      <c r="E1804" s="282" t="s">
        <v>1929</v>
      </c>
      <c r="F1804" s="282" t="s">
        <v>1278</v>
      </c>
      <c r="G1804" s="284" t="s">
        <v>52</v>
      </c>
      <c r="H1804" s="283" t="s">
        <v>2391</v>
      </c>
      <c r="I1804" s="283" t="s">
        <v>1931</v>
      </c>
      <c r="J1804" s="779">
        <v>0.78</v>
      </c>
      <c r="K1804" s="780"/>
    </row>
    <row r="1805" spans="1:11" ht="33" customHeight="1" thickBot="1" x14ac:dyDescent="0.25">
      <c r="A1805" s="282" t="s">
        <v>1276</v>
      </c>
      <c r="B1805" s="282"/>
      <c r="C1805" s="283" t="s">
        <v>2392</v>
      </c>
      <c r="D1805" s="282" t="s">
        <v>1250</v>
      </c>
      <c r="E1805" s="282" t="s">
        <v>2393</v>
      </c>
      <c r="F1805" s="282" t="s">
        <v>1278</v>
      </c>
      <c r="G1805" s="284" t="s">
        <v>52</v>
      </c>
      <c r="H1805" s="283" t="s">
        <v>1262</v>
      </c>
      <c r="I1805" s="283" t="s">
        <v>2394</v>
      </c>
      <c r="J1805" s="770">
        <v>49.19</v>
      </c>
      <c r="K1805" s="771"/>
    </row>
    <row r="1806" spans="1:11" ht="0.95" customHeight="1" thickTop="1" x14ac:dyDescent="0.2">
      <c r="A1806" s="281"/>
      <c r="B1806" s="281"/>
      <c r="C1806" s="281"/>
      <c r="D1806" s="281"/>
      <c r="E1806" s="281"/>
      <c r="F1806" s="281"/>
      <c r="G1806" s="281"/>
      <c r="H1806" s="281"/>
      <c r="I1806" s="281"/>
      <c r="J1806" s="421"/>
      <c r="K1806" s="421"/>
    </row>
    <row r="1807" spans="1:11" ht="18" customHeight="1" x14ac:dyDescent="0.2">
      <c r="A1807" s="272"/>
      <c r="B1807" s="272" t="s">
        <v>54</v>
      </c>
      <c r="C1807" s="273" t="s">
        <v>1239</v>
      </c>
      <c r="D1807" s="272" t="s">
        <v>1240</v>
      </c>
      <c r="E1807" s="272" t="s">
        <v>1241</v>
      </c>
      <c r="F1807" s="272" t="s">
        <v>1242</v>
      </c>
      <c r="G1807" s="274" t="s">
        <v>60</v>
      </c>
      <c r="H1807" s="273" t="s">
        <v>58</v>
      </c>
      <c r="I1807" s="273" t="s">
        <v>1243</v>
      </c>
      <c r="J1807" s="775" t="s">
        <v>196</v>
      </c>
      <c r="K1807" s="776"/>
    </row>
    <row r="1808" spans="1:11" ht="21.95" customHeight="1" x14ac:dyDescent="0.2">
      <c r="A1808" s="275" t="s">
        <v>1244</v>
      </c>
      <c r="B1808" s="275" t="s">
        <v>4676</v>
      </c>
      <c r="C1808" s="276" t="s">
        <v>2412</v>
      </c>
      <c r="D1808" s="275" t="s">
        <v>1246</v>
      </c>
      <c r="E1808" s="275" t="s">
        <v>721</v>
      </c>
      <c r="F1808" s="275" t="s">
        <v>1550</v>
      </c>
      <c r="G1808" s="277" t="s">
        <v>60</v>
      </c>
      <c r="H1808" s="276">
        <v>1</v>
      </c>
      <c r="I1808" s="276" t="s">
        <v>2413</v>
      </c>
      <c r="J1808" s="777" t="s">
        <v>2413</v>
      </c>
      <c r="K1808" s="778"/>
    </row>
    <row r="1809" spans="1:11" ht="21.95" customHeight="1" x14ac:dyDescent="0.2">
      <c r="A1809" s="278" t="s">
        <v>1248</v>
      </c>
      <c r="B1809" s="278"/>
      <c r="C1809" s="279" t="s">
        <v>1292</v>
      </c>
      <c r="D1809" s="278" t="s">
        <v>1250</v>
      </c>
      <c r="E1809" s="278" t="s">
        <v>1293</v>
      </c>
      <c r="F1809" s="278" t="s">
        <v>1252</v>
      </c>
      <c r="G1809" s="280" t="s">
        <v>1253</v>
      </c>
      <c r="H1809" s="279" t="s">
        <v>2387</v>
      </c>
      <c r="I1809" s="279" t="s">
        <v>1295</v>
      </c>
      <c r="J1809" s="781">
        <v>20.11</v>
      </c>
      <c r="K1809" s="782"/>
    </row>
    <row r="1810" spans="1:11" ht="21.95" customHeight="1" x14ac:dyDescent="0.2">
      <c r="A1810" s="278" t="s">
        <v>1248</v>
      </c>
      <c r="B1810" s="278"/>
      <c r="C1810" s="279" t="s">
        <v>1273</v>
      </c>
      <c r="D1810" s="278" t="s">
        <v>1250</v>
      </c>
      <c r="E1810" s="278" t="s">
        <v>1274</v>
      </c>
      <c r="F1810" s="278" t="s">
        <v>1252</v>
      </c>
      <c r="G1810" s="280" t="s">
        <v>1253</v>
      </c>
      <c r="H1810" s="279" t="s">
        <v>2387</v>
      </c>
      <c r="I1810" s="279" t="s">
        <v>1275</v>
      </c>
      <c r="J1810" s="781">
        <v>15.97</v>
      </c>
      <c r="K1810" s="782"/>
    </row>
    <row r="1811" spans="1:11" ht="21.95" customHeight="1" x14ac:dyDescent="0.2">
      <c r="A1811" s="282" t="s">
        <v>1276</v>
      </c>
      <c r="B1811" s="282"/>
      <c r="C1811" s="283" t="s">
        <v>2414</v>
      </c>
      <c r="D1811" s="282" t="s">
        <v>1250</v>
      </c>
      <c r="E1811" s="282" t="s">
        <v>2415</v>
      </c>
      <c r="F1811" s="282" t="s">
        <v>1278</v>
      </c>
      <c r="G1811" s="284" t="s">
        <v>52</v>
      </c>
      <c r="H1811" s="283" t="s">
        <v>1262</v>
      </c>
      <c r="I1811" s="283" t="s">
        <v>2416</v>
      </c>
      <c r="J1811" s="779">
        <v>127.22</v>
      </c>
      <c r="K1811" s="780"/>
    </row>
    <row r="1812" spans="1:11" ht="21.95" customHeight="1" thickBot="1" x14ac:dyDescent="0.25">
      <c r="A1812" s="282" t="s">
        <v>1276</v>
      </c>
      <c r="B1812" s="282"/>
      <c r="C1812" s="283" t="s">
        <v>1928</v>
      </c>
      <c r="D1812" s="282" t="s">
        <v>1250</v>
      </c>
      <c r="E1812" s="282" t="s">
        <v>1929</v>
      </c>
      <c r="F1812" s="282" t="s">
        <v>1278</v>
      </c>
      <c r="G1812" s="284" t="s">
        <v>52</v>
      </c>
      <c r="H1812" s="283" t="s">
        <v>2391</v>
      </c>
      <c r="I1812" s="283" t="s">
        <v>1931</v>
      </c>
      <c r="J1812" s="770">
        <v>0.78</v>
      </c>
      <c r="K1812" s="771"/>
    </row>
    <row r="1813" spans="1:11" ht="0.95" customHeight="1" thickTop="1" x14ac:dyDescent="0.2">
      <c r="A1813" s="281"/>
      <c r="B1813" s="281"/>
      <c r="C1813" s="281"/>
      <c r="D1813" s="281"/>
      <c r="E1813" s="281"/>
      <c r="F1813" s="281"/>
      <c r="G1813" s="281"/>
      <c r="H1813" s="281"/>
      <c r="I1813" s="281"/>
      <c r="J1813" s="421"/>
      <c r="K1813" s="421"/>
    </row>
    <row r="1814" spans="1:11" ht="18" customHeight="1" x14ac:dyDescent="0.2">
      <c r="A1814" s="272"/>
      <c r="B1814" s="272" t="s">
        <v>54</v>
      </c>
      <c r="C1814" s="273" t="s">
        <v>1239</v>
      </c>
      <c r="D1814" s="272" t="s">
        <v>1240</v>
      </c>
      <c r="E1814" s="272" t="s">
        <v>1241</v>
      </c>
      <c r="F1814" s="272" t="s">
        <v>1242</v>
      </c>
      <c r="G1814" s="274" t="s">
        <v>60</v>
      </c>
      <c r="H1814" s="273" t="s">
        <v>58</v>
      </c>
      <c r="I1814" s="273" t="s">
        <v>1243</v>
      </c>
      <c r="J1814" s="775" t="s">
        <v>196</v>
      </c>
      <c r="K1814" s="776"/>
    </row>
    <row r="1815" spans="1:11" ht="21.95" customHeight="1" x14ac:dyDescent="0.2">
      <c r="A1815" s="275" t="s">
        <v>1244</v>
      </c>
      <c r="B1815" s="275" t="s">
        <v>4677</v>
      </c>
      <c r="C1815" s="276" t="s">
        <v>2417</v>
      </c>
      <c r="D1815" s="275" t="s">
        <v>1246</v>
      </c>
      <c r="E1815" s="275" t="s">
        <v>723</v>
      </c>
      <c r="F1815" s="275" t="s">
        <v>1550</v>
      </c>
      <c r="G1815" s="277" t="s">
        <v>52</v>
      </c>
      <c r="H1815" s="276">
        <v>1</v>
      </c>
      <c r="I1815" s="276" t="s">
        <v>2418</v>
      </c>
      <c r="J1815" s="777" t="s">
        <v>2418</v>
      </c>
      <c r="K1815" s="778"/>
    </row>
    <row r="1816" spans="1:11" ht="21.95" customHeight="1" x14ac:dyDescent="0.2">
      <c r="A1816" s="278" t="s">
        <v>1248</v>
      </c>
      <c r="B1816" s="278"/>
      <c r="C1816" s="279" t="s">
        <v>1269</v>
      </c>
      <c r="D1816" s="278" t="s">
        <v>1250</v>
      </c>
      <c r="E1816" s="278" t="s">
        <v>1270</v>
      </c>
      <c r="F1816" s="278" t="s">
        <v>1252</v>
      </c>
      <c r="G1816" s="280" t="s">
        <v>1253</v>
      </c>
      <c r="H1816" s="279" t="s">
        <v>1443</v>
      </c>
      <c r="I1816" s="279" t="s">
        <v>1272</v>
      </c>
      <c r="J1816" s="781">
        <v>0.34</v>
      </c>
      <c r="K1816" s="782"/>
    </row>
    <row r="1817" spans="1:11" ht="44.1" customHeight="1" x14ac:dyDescent="0.2">
      <c r="A1817" s="278" t="s">
        <v>1248</v>
      </c>
      <c r="B1817" s="278"/>
      <c r="C1817" s="279" t="s">
        <v>2419</v>
      </c>
      <c r="D1817" s="278" t="s">
        <v>1250</v>
      </c>
      <c r="E1817" s="278" t="s">
        <v>2420</v>
      </c>
      <c r="F1817" s="278" t="s">
        <v>1252</v>
      </c>
      <c r="G1817" s="280" t="s">
        <v>153</v>
      </c>
      <c r="H1817" s="279" t="s">
        <v>2421</v>
      </c>
      <c r="I1817" s="279" t="s">
        <v>2422</v>
      </c>
      <c r="J1817" s="781">
        <v>0.67</v>
      </c>
      <c r="K1817" s="782"/>
    </row>
    <row r="1818" spans="1:11" ht="21.95" customHeight="1" thickBot="1" x14ac:dyDescent="0.25">
      <c r="A1818" s="282" t="s">
        <v>1276</v>
      </c>
      <c r="B1818" s="282"/>
      <c r="C1818" s="283" t="s">
        <v>2423</v>
      </c>
      <c r="D1818" s="282" t="s">
        <v>1246</v>
      </c>
      <c r="E1818" s="282" t="s">
        <v>1034</v>
      </c>
      <c r="F1818" s="282" t="s">
        <v>1278</v>
      </c>
      <c r="G1818" s="284" t="s">
        <v>52</v>
      </c>
      <c r="H1818" s="283" t="s">
        <v>1262</v>
      </c>
      <c r="I1818" s="283" t="s">
        <v>2424</v>
      </c>
      <c r="J1818" s="770">
        <v>271.32</v>
      </c>
      <c r="K1818" s="771"/>
    </row>
    <row r="1819" spans="1:11" ht="0.95" customHeight="1" thickTop="1" x14ac:dyDescent="0.2">
      <c r="A1819" s="281"/>
      <c r="B1819" s="281"/>
      <c r="C1819" s="281"/>
      <c r="D1819" s="281"/>
      <c r="E1819" s="281"/>
      <c r="F1819" s="281"/>
      <c r="G1819" s="281"/>
      <c r="H1819" s="281"/>
      <c r="I1819" s="281"/>
      <c r="J1819" s="421"/>
      <c r="K1819" s="421"/>
    </row>
    <row r="1820" spans="1:11" ht="18" customHeight="1" x14ac:dyDescent="0.2">
      <c r="A1820" s="272"/>
      <c r="B1820" s="272" t="s">
        <v>54</v>
      </c>
      <c r="C1820" s="273" t="s">
        <v>1239</v>
      </c>
      <c r="D1820" s="272" t="s">
        <v>1240</v>
      </c>
      <c r="E1820" s="272" t="s">
        <v>1241</v>
      </c>
      <c r="F1820" s="272" t="s">
        <v>1242</v>
      </c>
      <c r="G1820" s="274" t="s">
        <v>60</v>
      </c>
      <c r="H1820" s="273" t="s">
        <v>58</v>
      </c>
      <c r="I1820" s="273" t="s">
        <v>1243</v>
      </c>
      <c r="J1820" s="775" t="s">
        <v>196</v>
      </c>
      <c r="K1820" s="776"/>
    </row>
    <row r="1821" spans="1:11" ht="33" customHeight="1" x14ac:dyDescent="0.2">
      <c r="A1821" s="275" t="s">
        <v>1244</v>
      </c>
      <c r="B1821" s="275" t="s">
        <v>4678</v>
      </c>
      <c r="C1821" s="276" t="s">
        <v>2425</v>
      </c>
      <c r="D1821" s="275" t="s">
        <v>1246</v>
      </c>
      <c r="E1821" s="275" t="s">
        <v>725</v>
      </c>
      <c r="F1821" s="275" t="s">
        <v>1550</v>
      </c>
      <c r="G1821" s="277" t="s">
        <v>52</v>
      </c>
      <c r="H1821" s="276">
        <v>1</v>
      </c>
      <c r="I1821" s="276" t="s">
        <v>2426</v>
      </c>
      <c r="J1821" s="777" t="s">
        <v>2426</v>
      </c>
      <c r="K1821" s="778"/>
    </row>
    <row r="1822" spans="1:11" ht="21.95" customHeight="1" x14ac:dyDescent="0.2">
      <c r="A1822" s="278" t="s">
        <v>1248</v>
      </c>
      <c r="B1822" s="278"/>
      <c r="C1822" s="279" t="s">
        <v>1864</v>
      </c>
      <c r="D1822" s="278" t="s">
        <v>1250</v>
      </c>
      <c r="E1822" s="278" t="s">
        <v>1865</v>
      </c>
      <c r="F1822" s="278" t="s">
        <v>1252</v>
      </c>
      <c r="G1822" s="280" t="s">
        <v>1253</v>
      </c>
      <c r="H1822" s="279" t="s">
        <v>1689</v>
      </c>
      <c r="I1822" s="279" t="s">
        <v>1866</v>
      </c>
      <c r="J1822" s="781">
        <v>8.84</v>
      </c>
      <c r="K1822" s="782"/>
    </row>
    <row r="1823" spans="1:11" ht="21.95" customHeight="1" x14ac:dyDescent="0.2">
      <c r="A1823" s="278" t="s">
        <v>1248</v>
      </c>
      <c r="B1823" s="278"/>
      <c r="C1823" s="279" t="s">
        <v>1273</v>
      </c>
      <c r="D1823" s="278" t="s">
        <v>1250</v>
      </c>
      <c r="E1823" s="278" t="s">
        <v>1274</v>
      </c>
      <c r="F1823" s="278" t="s">
        <v>1252</v>
      </c>
      <c r="G1823" s="280" t="s">
        <v>1253</v>
      </c>
      <c r="H1823" s="279" t="s">
        <v>1689</v>
      </c>
      <c r="I1823" s="279" t="s">
        <v>1275</v>
      </c>
      <c r="J1823" s="781">
        <v>6.94</v>
      </c>
      <c r="K1823" s="782"/>
    </row>
    <row r="1824" spans="1:11" ht="21.95" customHeight="1" thickBot="1" x14ac:dyDescent="0.25">
      <c r="A1824" s="282" t="s">
        <v>1276</v>
      </c>
      <c r="B1824" s="282"/>
      <c r="C1824" s="283" t="s">
        <v>2427</v>
      </c>
      <c r="D1824" s="282" t="s">
        <v>1246</v>
      </c>
      <c r="E1824" s="282" t="s">
        <v>2428</v>
      </c>
      <c r="F1824" s="282" t="s">
        <v>1278</v>
      </c>
      <c r="G1824" s="284" t="s">
        <v>52</v>
      </c>
      <c r="H1824" s="283" t="s">
        <v>1262</v>
      </c>
      <c r="I1824" s="283" t="s">
        <v>2429</v>
      </c>
      <c r="J1824" s="770">
        <v>41.21</v>
      </c>
      <c r="K1824" s="771"/>
    </row>
    <row r="1825" spans="1:11" ht="0.95" customHeight="1" thickTop="1" x14ac:dyDescent="0.2">
      <c r="A1825" s="281"/>
      <c r="B1825" s="281"/>
      <c r="C1825" s="281"/>
      <c r="D1825" s="281"/>
      <c r="E1825" s="281"/>
      <c r="F1825" s="281"/>
      <c r="G1825" s="281"/>
      <c r="H1825" s="281"/>
      <c r="I1825" s="281"/>
      <c r="J1825" s="421"/>
      <c r="K1825" s="421"/>
    </row>
    <row r="1826" spans="1:11" ht="18" customHeight="1" x14ac:dyDescent="0.2">
      <c r="A1826" s="272"/>
      <c r="B1826" s="272" t="s">
        <v>54</v>
      </c>
      <c r="C1826" s="273" t="s">
        <v>1239</v>
      </c>
      <c r="D1826" s="272" t="s">
        <v>1240</v>
      </c>
      <c r="E1826" s="272" t="s">
        <v>1241</v>
      </c>
      <c r="F1826" s="272" t="s">
        <v>1242</v>
      </c>
      <c r="G1826" s="274" t="s">
        <v>60</v>
      </c>
      <c r="H1826" s="273" t="s">
        <v>58</v>
      </c>
      <c r="I1826" s="273" t="s">
        <v>1243</v>
      </c>
      <c r="J1826" s="775" t="s">
        <v>196</v>
      </c>
      <c r="K1826" s="776"/>
    </row>
    <row r="1827" spans="1:11" ht="21.95" customHeight="1" x14ac:dyDescent="0.2">
      <c r="A1827" s="275" t="s">
        <v>1244</v>
      </c>
      <c r="B1827" s="275" t="s">
        <v>4679</v>
      </c>
      <c r="C1827" s="276" t="s">
        <v>4680</v>
      </c>
      <c r="D1827" s="275" t="s">
        <v>1246</v>
      </c>
      <c r="E1827" s="275" t="s">
        <v>3747</v>
      </c>
      <c r="F1827" s="275" t="s">
        <v>1750</v>
      </c>
      <c r="G1827" s="277" t="s">
        <v>52</v>
      </c>
      <c r="H1827" s="276">
        <v>1</v>
      </c>
      <c r="I1827" s="276" t="s">
        <v>4681</v>
      </c>
      <c r="J1827" s="777" t="s">
        <v>4681</v>
      </c>
      <c r="K1827" s="778"/>
    </row>
    <row r="1828" spans="1:11" ht="21.95" customHeight="1" x14ac:dyDescent="0.2">
      <c r="A1828" s="278" t="s">
        <v>1248</v>
      </c>
      <c r="B1828" s="278"/>
      <c r="C1828" s="279" t="s">
        <v>1702</v>
      </c>
      <c r="D1828" s="278" t="s">
        <v>1250</v>
      </c>
      <c r="E1828" s="278" t="s">
        <v>1703</v>
      </c>
      <c r="F1828" s="278" t="s">
        <v>1252</v>
      </c>
      <c r="G1828" s="280" t="s">
        <v>1253</v>
      </c>
      <c r="H1828" s="279" t="s">
        <v>2193</v>
      </c>
      <c r="I1828" s="279" t="s">
        <v>1704</v>
      </c>
      <c r="J1828" s="781">
        <v>89.18</v>
      </c>
      <c r="K1828" s="782"/>
    </row>
    <row r="1829" spans="1:11" ht="21.95" customHeight="1" x14ac:dyDescent="0.2">
      <c r="A1829" s="278" t="s">
        <v>1248</v>
      </c>
      <c r="B1829" s="278"/>
      <c r="C1829" s="279" t="s">
        <v>2194</v>
      </c>
      <c r="D1829" s="278" t="s">
        <v>1250</v>
      </c>
      <c r="E1829" s="278" t="s">
        <v>2195</v>
      </c>
      <c r="F1829" s="278" t="s">
        <v>1252</v>
      </c>
      <c r="G1829" s="280" t="s">
        <v>1253</v>
      </c>
      <c r="H1829" s="279" t="s">
        <v>2193</v>
      </c>
      <c r="I1829" s="279" t="s">
        <v>2196</v>
      </c>
      <c r="J1829" s="781">
        <v>136.33000000000001</v>
      </c>
      <c r="K1829" s="782"/>
    </row>
    <row r="1830" spans="1:11" ht="21.95" customHeight="1" thickBot="1" x14ac:dyDescent="0.25">
      <c r="A1830" s="282" t="s">
        <v>1276</v>
      </c>
      <c r="B1830" s="282"/>
      <c r="C1830" s="283" t="s">
        <v>4682</v>
      </c>
      <c r="D1830" s="282" t="s">
        <v>1246</v>
      </c>
      <c r="E1830" s="282" t="s">
        <v>3834</v>
      </c>
      <c r="F1830" s="282" t="s">
        <v>1278</v>
      </c>
      <c r="G1830" s="284" t="s">
        <v>52</v>
      </c>
      <c r="H1830" s="283" t="s">
        <v>1262</v>
      </c>
      <c r="I1830" s="283" t="s">
        <v>4683</v>
      </c>
      <c r="J1830" s="770">
        <v>2430.8200000000002</v>
      </c>
      <c r="K1830" s="771"/>
    </row>
    <row r="1831" spans="1:11" ht="0.95" customHeight="1" thickTop="1" x14ac:dyDescent="0.2">
      <c r="A1831" s="281"/>
      <c r="B1831" s="281"/>
      <c r="C1831" s="281"/>
      <c r="D1831" s="281"/>
      <c r="E1831" s="281"/>
      <c r="F1831" s="281"/>
      <c r="G1831" s="281"/>
      <c r="H1831" s="281"/>
      <c r="I1831" s="281"/>
      <c r="J1831" s="421"/>
      <c r="K1831" s="421"/>
    </row>
    <row r="1832" spans="1:11" ht="18" customHeight="1" x14ac:dyDescent="0.2">
      <c r="A1832" s="272"/>
      <c r="B1832" s="272" t="s">
        <v>54</v>
      </c>
      <c r="C1832" s="273" t="s">
        <v>1239</v>
      </c>
      <c r="D1832" s="272" t="s">
        <v>1240</v>
      </c>
      <c r="E1832" s="272" t="s">
        <v>1241</v>
      </c>
      <c r="F1832" s="272" t="s">
        <v>1242</v>
      </c>
      <c r="G1832" s="274" t="s">
        <v>60</v>
      </c>
      <c r="H1832" s="273" t="s">
        <v>58</v>
      </c>
      <c r="I1832" s="273" t="s">
        <v>1243</v>
      </c>
      <c r="J1832" s="775" t="s">
        <v>196</v>
      </c>
      <c r="K1832" s="776"/>
    </row>
    <row r="1833" spans="1:11" ht="33" customHeight="1" x14ac:dyDescent="0.2">
      <c r="A1833" s="275" t="s">
        <v>1244</v>
      </c>
      <c r="B1833" s="275" t="s">
        <v>4684</v>
      </c>
      <c r="C1833" s="276" t="s">
        <v>2430</v>
      </c>
      <c r="D1833" s="275" t="s">
        <v>1246</v>
      </c>
      <c r="E1833" s="275" t="s">
        <v>727</v>
      </c>
      <c r="F1833" s="275" t="s">
        <v>1550</v>
      </c>
      <c r="G1833" s="277" t="s">
        <v>75</v>
      </c>
      <c r="H1833" s="276">
        <v>1</v>
      </c>
      <c r="I1833" s="276" t="s">
        <v>2431</v>
      </c>
      <c r="J1833" s="777" t="s">
        <v>2431</v>
      </c>
      <c r="K1833" s="778"/>
    </row>
    <row r="1834" spans="1:11" ht="21.95" customHeight="1" x14ac:dyDescent="0.2">
      <c r="A1834" s="278" t="s">
        <v>1248</v>
      </c>
      <c r="B1834" s="278"/>
      <c r="C1834" s="279" t="s">
        <v>1288</v>
      </c>
      <c r="D1834" s="278" t="s">
        <v>1250</v>
      </c>
      <c r="E1834" s="278" t="s">
        <v>1289</v>
      </c>
      <c r="F1834" s="278" t="s">
        <v>1252</v>
      </c>
      <c r="G1834" s="280" t="s">
        <v>1253</v>
      </c>
      <c r="H1834" s="279" t="s">
        <v>2432</v>
      </c>
      <c r="I1834" s="279" t="s">
        <v>1291</v>
      </c>
      <c r="J1834" s="781">
        <v>7.41</v>
      </c>
      <c r="K1834" s="782"/>
    </row>
    <row r="1835" spans="1:11" ht="21.95" customHeight="1" x14ac:dyDescent="0.2">
      <c r="A1835" s="278" t="s">
        <v>1248</v>
      </c>
      <c r="B1835" s="278"/>
      <c r="C1835" s="279" t="s">
        <v>1292</v>
      </c>
      <c r="D1835" s="278" t="s">
        <v>1250</v>
      </c>
      <c r="E1835" s="278" t="s">
        <v>1293</v>
      </c>
      <c r="F1835" s="278" t="s">
        <v>1252</v>
      </c>
      <c r="G1835" s="280" t="s">
        <v>1253</v>
      </c>
      <c r="H1835" s="279" t="s">
        <v>2432</v>
      </c>
      <c r="I1835" s="279" t="s">
        <v>1295</v>
      </c>
      <c r="J1835" s="781">
        <v>9.09</v>
      </c>
      <c r="K1835" s="782"/>
    </row>
    <row r="1836" spans="1:11" ht="21.95" customHeight="1" thickBot="1" x14ac:dyDescent="0.25">
      <c r="A1836" s="282" t="s">
        <v>1276</v>
      </c>
      <c r="B1836" s="282"/>
      <c r="C1836" s="283" t="s">
        <v>2433</v>
      </c>
      <c r="D1836" s="282" t="s">
        <v>1246</v>
      </c>
      <c r="E1836" s="282" t="s">
        <v>2434</v>
      </c>
      <c r="F1836" s="282" t="s">
        <v>1278</v>
      </c>
      <c r="G1836" s="284" t="s">
        <v>5</v>
      </c>
      <c r="H1836" s="283" t="s">
        <v>2435</v>
      </c>
      <c r="I1836" s="283" t="s">
        <v>2436</v>
      </c>
      <c r="J1836" s="770">
        <v>53.97</v>
      </c>
      <c r="K1836" s="771"/>
    </row>
    <row r="1837" spans="1:11" ht="0.95" customHeight="1" thickTop="1" x14ac:dyDescent="0.2">
      <c r="A1837" s="281"/>
      <c r="B1837" s="281"/>
      <c r="C1837" s="281"/>
      <c r="D1837" s="281"/>
      <c r="E1837" s="281"/>
      <c r="F1837" s="281"/>
      <c r="G1837" s="281"/>
      <c r="H1837" s="281"/>
      <c r="I1837" s="281"/>
      <c r="J1837" s="421"/>
      <c r="K1837" s="421"/>
    </row>
    <row r="1838" spans="1:11" ht="18" customHeight="1" x14ac:dyDescent="0.2">
      <c r="A1838" s="272"/>
      <c r="B1838" s="272" t="s">
        <v>54</v>
      </c>
      <c r="C1838" s="273" t="s">
        <v>1239</v>
      </c>
      <c r="D1838" s="272" t="s">
        <v>1240</v>
      </c>
      <c r="E1838" s="272" t="s">
        <v>1241</v>
      </c>
      <c r="F1838" s="272" t="s">
        <v>1242</v>
      </c>
      <c r="G1838" s="274" t="s">
        <v>60</v>
      </c>
      <c r="H1838" s="273" t="s">
        <v>58</v>
      </c>
      <c r="I1838" s="273" t="s">
        <v>1243</v>
      </c>
      <c r="J1838" s="775" t="s">
        <v>196</v>
      </c>
      <c r="K1838" s="776"/>
    </row>
    <row r="1839" spans="1:11" ht="21.95" customHeight="1" x14ac:dyDescent="0.2">
      <c r="A1839" s="275" t="s">
        <v>1244</v>
      </c>
      <c r="B1839" s="275" t="s">
        <v>4685</v>
      </c>
      <c r="C1839" s="276" t="s">
        <v>1935</v>
      </c>
      <c r="D1839" s="275" t="s">
        <v>1246</v>
      </c>
      <c r="E1839" s="275" t="s">
        <v>605</v>
      </c>
      <c r="F1839" s="275" t="s">
        <v>1936</v>
      </c>
      <c r="G1839" s="277" t="s">
        <v>75</v>
      </c>
      <c r="H1839" s="276">
        <v>1</v>
      </c>
      <c r="I1839" s="276" t="s">
        <v>1302</v>
      </c>
      <c r="J1839" s="777" t="s">
        <v>1302</v>
      </c>
      <c r="K1839" s="778"/>
    </row>
    <row r="1840" spans="1:11" ht="21.95" customHeight="1" x14ac:dyDescent="0.2">
      <c r="A1840" s="278" t="s">
        <v>1248</v>
      </c>
      <c r="B1840" s="278"/>
      <c r="C1840" s="279" t="s">
        <v>1864</v>
      </c>
      <c r="D1840" s="278" t="s">
        <v>1250</v>
      </c>
      <c r="E1840" s="278" t="s">
        <v>1865</v>
      </c>
      <c r="F1840" s="278" t="s">
        <v>1252</v>
      </c>
      <c r="G1840" s="280" t="s">
        <v>1253</v>
      </c>
      <c r="H1840" s="279" t="s">
        <v>1345</v>
      </c>
      <c r="I1840" s="279" t="s">
        <v>1866</v>
      </c>
      <c r="J1840" s="781">
        <v>2.4700000000000002</v>
      </c>
      <c r="K1840" s="782"/>
    </row>
    <row r="1841" spans="1:11" ht="21.95" customHeight="1" x14ac:dyDescent="0.2">
      <c r="A1841" s="278" t="s">
        <v>1248</v>
      </c>
      <c r="B1841" s="278"/>
      <c r="C1841" s="279" t="s">
        <v>1273</v>
      </c>
      <c r="D1841" s="278" t="s">
        <v>1250</v>
      </c>
      <c r="E1841" s="278" t="s">
        <v>1274</v>
      </c>
      <c r="F1841" s="278" t="s">
        <v>1252</v>
      </c>
      <c r="G1841" s="280" t="s">
        <v>1253</v>
      </c>
      <c r="H1841" s="279" t="s">
        <v>1345</v>
      </c>
      <c r="I1841" s="279" t="s">
        <v>1275</v>
      </c>
      <c r="J1841" s="781">
        <v>1.94</v>
      </c>
      <c r="K1841" s="782"/>
    </row>
    <row r="1842" spans="1:11" ht="21.95" customHeight="1" thickBot="1" x14ac:dyDescent="0.25">
      <c r="A1842" s="282" t="s">
        <v>1276</v>
      </c>
      <c r="B1842" s="282"/>
      <c r="C1842" s="283" t="s">
        <v>1937</v>
      </c>
      <c r="D1842" s="282" t="s">
        <v>1246</v>
      </c>
      <c r="E1842" s="282" t="s">
        <v>605</v>
      </c>
      <c r="F1842" s="282" t="s">
        <v>1278</v>
      </c>
      <c r="G1842" s="284" t="s">
        <v>75</v>
      </c>
      <c r="H1842" s="283" t="s">
        <v>1832</v>
      </c>
      <c r="I1842" s="283" t="s">
        <v>1938</v>
      </c>
      <c r="J1842" s="770">
        <v>4.6399999999999997</v>
      </c>
      <c r="K1842" s="771"/>
    </row>
    <row r="1843" spans="1:11" ht="0.95" customHeight="1" thickTop="1" x14ac:dyDescent="0.2">
      <c r="A1843" s="281"/>
      <c r="B1843" s="281"/>
      <c r="C1843" s="281"/>
      <c r="D1843" s="281"/>
      <c r="E1843" s="281"/>
      <c r="F1843" s="281"/>
      <c r="G1843" s="281"/>
      <c r="H1843" s="281"/>
      <c r="I1843" s="281"/>
      <c r="J1843" s="421"/>
      <c r="K1843" s="421"/>
    </row>
    <row r="1844" spans="1:11" ht="18" customHeight="1" x14ac:dyDescent="0.2">
      <c r="A1844" s="272"/>
      <c r="B1844" s="272" t="s">
        <v>54</v>
      </c>
      <c r="C1844" s="273" t="s">
        <v>1239</v>
      </c>
      <c r="D1844" s="272" t="s">
        <v>1240</v>
      </c>
      <c r="E1844" s="272" t="s">
        <v>1241</v>
      </c>
      <c r="F1844" s="272" t="s">
        <v>1242</v>
      </c>
      <c r="G1844" s="274" t="s">
        <v>60</v>
      </c>
      <c r="H1844" s="273" t="s">
        <v>58</v>
      </c>
      <c r="I1844" s="273" t="s">
        <v>1243</v>
      </c>
      <c r="J1844" s="775" t="s">
        <v>196</v>
      </c>
      <c r="K1844" s="776"/>
    </row>
    <row r="1845" spans="1:11" ht="33" customHeight="1" x14ac:dyDescent="0.2">
      <c r="A1845" s="275" t="s">
        <v>1244</v>
      </c>
      <c r="B1845" s="275" t="s">
        <v>4686</v>
      </c>
      <c r="C1845" s="276" t="s">
        <v>1973</v>
      </c>
      <c r="D1845" s="275" t="s">
        <v>1246</v>
      </c>
      <c r="E1845" s="275" t="s">
        <v>633</v>
      </c>
      <c r="F1845" s="275" t="s">
        <v>1936</v>
      </c>
      <c r="G1845" s="277" t="s">
        <v>75</v>
      </c>
      <c r="H1845" s="276">
        <v>1</v>
      </c>
      <c r="I1845" s="276" t="s">
        <v>1974</v>
      </c>
      <c r="J1845" s="777" t="s">
        <v>1974</v>
      </c>
      <c r="K1845" s="778"/>
    </row>
    <row r="1846" spans="1:11" ht="21.95" customHeight="1" x14ac:dyDescent="0.2">
      <c r="A1846" s="278" t="s">
        <v>1248</v>
      </c>
      <c r="B1846" s="278"/>
      <c r="C1846" s="279" t="s">
        <v>1273</v>
      </c>
      <c r="D1846" s="278" t="s">
        <v>1250</v>
      </c>
      <c r="E1846" s="278" t="s">
        <v>1274</v>
      </c>
      <c r="F1846" s="278" t="s">
        <v>1252</v>
      </c>
      <c r="G1846" s="280" t="s">
        <v>1253</v>
      </c>
      <c r="H1846" s="279" t="s">
        <v>1723</v>
      </c>
      <c r="I1846" s="279" t="s">
        <v>1275</v>
      </c>
      <c r="J1846" s="781">
        <v>6.25</v>
      </c>
      <c r="K1846" s="782"/>
    </row>
    <row r="1847" spans="1:11" ht="21.95" customHeight="1" thickBot="1" x14ac:dyDescent="0.25">
      <c r="A1847" s="282" t="s">
        <v>1276</v>
      </c>
      <c r="B1847" s="282"/>
      <c r="C1847" s="283" t="s">
        <v>1975</v>
      </c>
      <c r="D1847" s="282" t="s">
        <v>1246</v>
      </c>
      <c r="E1847" s="282" t="s">
        <v>1976</v>
      </c>
      <c r="F1847" s="282" t="s">
        <v>1278</v>
      </c>
      <c r="G1847" s="284" t="s">
        <v>75</v>
      </c>
      <c r="H1847" s="283" t="s">
        <v>1977</v>
      </c>
      <c r="I1847" s="283" t="s">
        <v>1978</v>
      </c>
      <c r="J1847" s="770">
        <v>1.94</v>
      </c>
      <c r="K1847" s="771"/>
    </row>
    <row r="1848" spans="1:11" ht="0.95" customHeight="1" thickTop="1" x14ac:dyDescent="0.2">
      <c r="A1848" s="281"/>
      <c r="B1848" s="281"/>
      <c r="C1848" s="281"/>
      <c r="D1848" s="281"/>
      <c r="E1848" s="281"/>
      <c r="F1848" s="281"/>
      <c r="G1848" s="281"/>
      <c r="H1848" s="281"/>
      <c r="I1848" s="281"/>
      <c r="J1848" s="421"/>
      <c r="K1848" s="421"/>
    </row>
    <row r="1849" spans="1:11" ht="18" customHeight="1" x14ac:dyDescent="0.2">
      <c r="A1849" s="272"/>
      <c r="B1849" s="272" t="s">
        <v>54</v>
      </c>
      <c r="C1849" s="273" t="s">
        <v>1239</v>
      </c>
      <c r="D1849" s="272" t="s">
        <v>1240</v>
      </c>
      <c r="E1849" s="272" t="s">
        <v>1241</v>
      </c>
      <c r="F1849" s="272" t="s">
        <v>1242</v>
      </c>
      <c r="G1849" s="274" t="s">
        <v>60</v>
      </c>
      <c r="H1849" s="273" t="s">
        <v>58</v>
      </c>
      <c r="I1849" s="273" t="s">
        <v>1243</v>
      </c>
      <c r="J1849" s="775" t="s">
        <v>196</v>
      </c>
      <c r="K1849" s="776"/>
    </row>
    <row r="1850" spans="1:11" ht="33" customHeight="1" x14ac:dyDescent="0.2">
      <c r="A1850" s="275" t="s">
        <v>1244</v>
      </c>
      <c r="B1850" s="275" t="s">
        <v>4687</v>
      </c>
      <c r="C1850" s="276" t="s">
        <v>2437</v>
      </c>
      <c r="D1850" s="275" t="s">
        <v>1246</v>
      </c>
      <c r="E1850" s="275" t="s">
        <v>729</v>
      </c>
      <c r="F1850" s="275" t="s">
        <v>1936</v>
      </c>
      <c r="G1850" s="277" t="s">
        <v>75</v>
      </c>
      <c r="H1850" s="276">
        <v>1</v>
      </c>
      <c r="I1850" s="276" t="s">
        <v>2438</v>
      </c>
      <c r="J1850" s="777" t="s">
        <v>2438</v>
      </c>
      <c r="K1850" s="778"/>
    </row>
    <row r="1851" spans="1:11" ht="21.95" customHeight="1" x14ac:dyDescent="0.2">
      <c r="A1851" s="278" t="s">
        <v>1248</v>
      </c>
      <c r="B1851" s="278"/>
      <c r="C1851" s="279" t="s">
        <v>1273</v>
      </c>
      <c r="D1851" s="278" t="s">
        <v>1250</v>
      </c>
      <c r="E1851" s="278" t="s">
        <v>1274</v>
      </c>
      <c r="F1851" s="278" t="s">
        <v>1252</v>
      </c>
      <c r="G1851" s="280" t="s">
        <v>1253</v>
      </c>
      <c r="H1851" s="279" t="s">
        <v>1723</v>
      </c>
      <c r="I1851" s="279" t="s">
        <v>1275</v>
      </c>
      <c r="J1851" s="781">
        <v>6.25</v>
      </c>
      <c r="K1851" s="782"/>
    </row>
    <row r="1852" spans="1:11" ht="21.95" customHeight="1" thickBot="1" x14ac:dyDescent="0.25">
      <c r="A1852" s="282" t="s">
        <v>1276</v>
      </c>
      <c r="B1852" s="282"/>
      <c r="C1852" s="283" t="s">
        <v>2439</v>
      </c>
      <c r="D1852" s="282" t="s">
        <v>1246</v>
      </c>
      <c r="E1852" s="282" t="s">
        <v>1028</v>
      </c>
      <c r="F1852" s="282" t="s">
        <v>1278</v>
      </c>
      <c r="G1852" s="284" t="s">
        <v>75</v>
      </c>
      <c r="H1852" s="283" t="s">
        <v>1977</v>
      </c>
      <c r="I1852" s="283" t="s">
        <v>2440</v>
      </c>
      <c r="J1852" s="770">
        <v>2.72</v>
      </c>
      <c r="K1852" s="771"/>
    </row>
    <row r="1853" spans="1:11" ht="0.95" customHeight="1" thickTop="1" x14ac:dyDescent="0.2">
      <c r="A1853" s="281"/>
      <c r="B1853" s="281"/>
      <c r="C1853" s="281"/>
      <c r="D1853" s="281"/>
      <c r="E1853" s="281"/>
      <c r="F1853" s="281"/>
      <c r="G1853" s="281"/>
      <c r="H1853" s="281"/>
      <c r="I1853" s="281"/>
      <c r="J1853" s="421"/>
      <c r="K1853" s="421"/>
    </row>
    <row r="1854" spans="1:11" ht="18" customHeight="1" x14ac:dyDescent="0.2">
      <c r="A1854" s="272"/>
      <c r="B1854" s="272" t="s">
        <v>54</v>
      </c>
      <c r="C1854" s="273" t="s">
        <v>1239</v>
      </c>
      <c r="D1854" s="272" t="s">
        <v>1240</v>
      </c>
      <c r="E1854" s="272" t="s">
        <v>1241</v>
      </c>
      <c r="F1854" s="272" t="s">
        <v>1242</v>
      </c>
      <c r="G1854" s="274" t="s">
        <v>60</v>
      </c>
      <c r="H1854" s="273" t="s">
        <v>58</v>
      </c>
      <c r="I1854" s="273" t="s">
        <v>1243</v>
      </c>
      <c r="J1854" s="775" t="s">
        <v>196</v>
      </c>
      <c r="K1854" s="776"/>
    </row>
    <row r="1855" spans="1:11" ht="21.95" customHeight="1" x14ac:dyDescent="0.2">
      <c r="A1855" s="275" t="s">
        <v>1244</v>
      </c>
      <c r="B1855" s="275" t="s">
        <v>4688</v>
      </c>
      <c r="C1855" s="276" t="s">
        <v>2441</v>
      </c>
      <c r="D1855" s="275" t="s">
        <v>1246</v>
      </c>
      <c r="E1855" s="275" t="s">
        <v>466</v>
      </c>
      <c r="F1855" s="275" t="s">
        <v>1379</v>
      </c>
      <c r="G1855" s="277" t="s">
        <v>77</v>
      </c>
      <c r="H1855" s="276">
        <v>1</v>
      </c>
      <c r="I1855" s="276" t="s">
        <v>2442</v>
      </c>
      <c r="J1855" s="777" t="s">
        <v>2442</v>
      </c>
      <c r="K1855" s="778"/>
    </row>
    <row r="1856" spans="1:11" ht="21.95" customHeight="1" x14ac:dyDescent="0.2">
      <c r="A1856" s="278" t="s">
        <v>1248</v>
      </c>
      <c r="B1856" s="278"/>
      <c r="C1856" s="279" t="s">
        <v>1269</v>
      </c>
      <c r="D1856" s="278" t="s">
        <v>1250</v>
      </c>
      <c r="E1856" s="278" t="s">
        <v>1270</v>
      </c>
      <c r="F1856" s="278" t="s">
        <v>1252</v>
      </c>
      <c r="G1856" s="280" t="s">
        <v>1253</v>
      </c>
      <c r="H1856" s="279" t="s">
        <v>2443</v>
      </c>
      <c r="I1856" s="279" t="s">
        <v>1272</v>
      </c>
      <c r="J1856" s="781">
        <v>65.959999999999994</v>
      </c>
      <c r="K1856" s="782"/>
    </row>
    <row r="1857" spans="1:11" ht="21.95" customHeight="1" x14ac:dyDescent="0.2">
      <c r="A1857" s="278" t="s">
        <v>1248</v>
      </c>
      <c r="B1857" s="278"/>
      <c r="C1857" s="279" t="s">
        <v>1273</v>
      </c>
      <c r="D1857" s="278" t="s">
        <v>1250</v>
      </c>
      <c r="E1857" s="278" t="s">
        <v>1274</v>
      </c>
      <c r="F1857" s="278" t="s">
        <v>1252</v>
      </c>
      <c r="G1857" s="280" t="s">
        <v>1253</v>
      </c>
      <c r="H1857" s="279" t="s">
        <v>2444</v>
      </c>
      <c r="I1857" s="279" t="s">
        <v>1275</v>
      </c>
      <c r="J1857" s="781">
        <v>87.78</v>
      </c>
      <c r="K1857" s="782"/>
    </row>
    <row r="1858" spans="1:11" ht="21.95" customHeight="1" x14ac:dyDescent="0.2">
      <c r="A1858" s="282" t="s">
        <v>1276</v>
      </c>
      <c r="B1858" s="282"/>
      <c r="C1858" s="283" t="s">
        <v>1307</v>
      </c>
      <c r="D1858" s="282" t="s">
        <v>1250</v>
      </c>
      <c r="E1858" s="282" t="s">
        <v>1308</v>
      </c>
      <c r="F1858" s="282" t="s">
        <v>1278</v>
      </c>
      <c r="G1858" s="284" t="s">
        <v>153</v>
      </c>
      <c r="H1858" s="283" t="s">
        <v>2445</v>
      </c>
      <c r="I1858" s="283" t="s">
        <v>1310</v>
      </c>
      <c r="J1858" s="779">
        <v>10.11</v>
      </c>
      <c r="K1858" s="780"/>
    </row>
    <row r="1859" spans="1:11" ht="21.95" customHeight="1" x14ac:dyDescent="0.2">
      <c r="A1859" s="282" t="s">
        <v>1276</v>
      </c>
      <c r="B1859" s="282"/>
      <c r="C1859" s="283" t="s">
        <v>1407</v>
      </c>
      <c r="D1859" s="282" t="s">
        <v>1250</v>
      </c>
      <c r="E1859" s="282" t="s">
        <v>1408</v>
      </c>
      <c r="F1859" s="282" t="s">
        <v>1278</v>
      </c>
      <c r="G1859" s="284" t="s">
        <v>71</v>
      </c>
      <c r="H1859" s="283" t="s">
        <v>2446</v>
      </c>
      <c r="I1859" s="283" t="s">
        <v>1410</v>
      </c>
      <c r="J1859" s="779">
        <v>14.59</v>
      </c>
      <c r="K1859" s="780"/>
    </row>
    <row r="1860" spans="1:11" ht="21.95" customHeight="1" x14ac:dyDescent="0.2">
      <c r="A1860" s="282" t="s">
        <v>1276</v>
      </c>
      <c r="B1860" s="282"/>
      <c r="C1860" s="283" t="s">
        <v>2447</v>
      </c>
      <c r="D1860" s="282" t="s">
        <v>1250</v>
      </c>
      <c r="E1860" s="282" t="s">
        <v>2448</v>
      </c>
      <c r="F1860" s="282" t="s">
        <v>1278</v>
      </c>
      <c r="G1860" s="284" t="s">
        <v>153</v>
      </c>
      <c r="H1860" s="283" t="s">
        <v>2449</v>
      </c>
      <c r="I1860" s="283" t="s">
        <v>2450</v>
      </c>
      <c r="J1860" s="779">
        <v>6.96</v>
      </c>
      <c r="K1860" s="780"/>
    </row>
    <row r="1861" spans="1:11" ht="21.95" customHeight="1" x14ac:dyDescent="0.2">
      <c r="A1861" s="282" t="s">
        <v>1276</v>
      </c>
      <c r="B1861" s="282"/>
      <c r="C1861" s="283" t="s">
        <v>1663</v>
      </c>
      <c r="D1861" s="282" t="s">
        <v>1250</v>
      </c>
      <c r="E1861" s="282" t="s">
        <v>1664</v>
      </c>
      <c r="F1861" s="282" t="s">
        <v>1278</v>
      </c>
      <c r="G1861" s="284" t="s">
        <v>71</v>
      </c>
      <c r="H1861" s="283" t="s">
        <v>2451</v>
      </c>
      <c r="I1861" s="283" t="s">
        <v>1666</v>
      </c>
      <c r="J1861" s="779">
        <v>9.1300000000000008</v>
      </c>
      <c r="K1861" s="780"/>
    </row>
    <row r="1862" spans="1:11" ht="21.95" customHeight="1" thickBot="1" x14ac:dyDescent="0.25">
      <c r="A1862" s="282" t="s">
        <v>1276</v>
      </c>
      <c r="B1862" s="282"/>
      <c r="C1862" s="283" t="s">
        <v>1325</v>
      </c>
      <c r="D1862" s="282" t="s">
        <v>1250</v>
      </c>
      <c r="E1862" s="282" t="s">
        <v>1326</v>
      </c>
      <c r="F1862" s="282" t="s">
        <v>1278</v>
      </c>
      <c r="G1862" s="284" t="s">
        <v>52</v>
      </c>
      <c r="H1862" s="283" t="s">
        <v>2452</v>
      </c>
      <c r="I1862" s="283" t="s">
        <v>1327</v>
      </c>
      <c r="J1862" s="770">
        <v>54.21</v>
      </c>
      <c r="K1862" s="771"/>
    </row>
    <row r="1863" spans="1:11" ht="0.95" customHeight="1" thickTop="1" x14ac:dyDescent="0.2">
      <c r="A1863" s="281"/>
      <c r="B1863" s="281"/>
      <c r="C1863" s="281"/>
      <c r="D1863" s="281"/>
      <c r="E1863" s="281"/>
      <c r="F1863" s="281"/>
      <c r="G1863" s="281"/>
      <c r="H1863" s="281"/>
      <c r="I1863" s="281"/>
      <c r="J1863" s="421"/>
      <c r="K1863" s="421"/>
    </row>
    <row r="1864" spans="1:11" ht="18" customHeight="1" x14ac:dyDescent="0.2">
      <c r="A1864" s="272"/>
      <c r="B1864" s="272" t="s">
        <v>54</v>
      </c>
      <c r="C1864" s="273" t="s">
        <v>1239</v>
      </c>
      <c r="D1864" s="272" t="s">
        <v>1240</v>
      </c>
      <c r="E1864" s="272" t="s">
        <v>1241</v>
      </c>
      <c r="F1864" s="272" t="s">
        <v>1242</v>
      </c>
      <c r="G1864" s="274" t="s">
        <v>60</v>
      </c>
      <c r="H1864" s="273" t="s">
        <v>58</v>
      </c>
      <c r="I1864" s="273" t="s">
        <v>1243</v>
      </c>
      <c r="J1864" s="775" t="s">
        <v>196</v>
      </c>
      <c r="K1864" s="776"/>
    </row>
    <row r="1865" spans="1:11" ht="21.95" customHeight="1" x14ac:dyDescent="0.2">
      <c r="A1865" s="275" t="s">
        <v>1244</v>
      </c>
      <c r="B1865" s="275" t="s">
        <v>4689</v>
      </c>
      <c r="C1865" s="276" t="s">
        <v>2453</v>
      </c>
      <c r="D1865" s="275" t="s">
        <v>1246</v>
      </c>
      <c r="E1865" s="275" t="s">
        <v>452</v>
      </c>
      <c r="F1865" s="275" t="s">
        <v>1936</v>
      </c>
      <c r="G1865" s="277" t="s">
        <v>52</v>
      </c>
      <c r="H1865" s="276">
        <v>1</v>
      </c>
      <c r="I1865" s="276" t="s">
        <v>2454</v>
      </c>
      <c r="J1865" s="777" t="s">
        <v>2454</v>
      </c>
      <c r="K1865" s="778"/>
    </row>
    <row r="1866" spans="1:11" ht="21.95" customHeight="1" x14ac:dyDescent="0.2">
      <c r="A1866" s="278" t="s">
        <v>1248</v>
      </c>
      <c r="B1866" s="278"/>
      <c r="C1866" s="279" t="s">
        <v>1269</v>
      </c>
      <c r="D1866" s="278" t="s">
        <v>1250</v>
      </c>
      <c r="E1866" s="278" t="s">
        <v>1270</v>
      </c>
      <c r="F1866" s="278" t="s">
        <v>1252</v>
      </c>
      <c r="G1866" s="280" t="s">
        <v>1253</v>
      </c>
      <c r="H1866" s="279" t="s">
        <v>2455</v>
      </c>
      <c r="I1866" s="279" t="s">
        <v>1272</v>
      </c>
      <c r="J1866" s="781">
        <v>22.9</v>
      </c>
      <c r="K1866" s="782"/>
    </row>
    <row r="1867" spans="1:11" ht="21.95" customHeight="1" x14ac:dyDescent="0.2">
      <c r="A1867" s="278" t="s">
        <v>1248</v>
      </c>
      <c r="B1867" s="278"/>
      <c r="C1867" s="279" t="s">
        <v>1273</v>
      </c>
      <c r="D1867" s="278" t="s">
        <v>1250</v>
      </c>
      <c r="E1867" s="278" t="s">
        <v>1274</v>
      </c>
      <c r="F1867" s="278" t="s">
        <v>1252</v>
      </c>
      <c r="G1867" s="280" t="s">
        <v>1253</v>
      </c>
      <c r="H1867" s="279" t="s">
        <v>2455</v>
      </c>
      <c r="I1867" s="279" t="s">
        <v>1275</v>
      </c>
      <c r="J1867" s="781">
        <v>18.61</v>
      </c>
      <c r="K1867" s="782"/>
    </row>
    <row r="1868" spans="1:11" ht="21.95" customHeight="1" x14ac:dyDescent="0.2">
      <c r="A1868" s="282" t="s">
        <v>1276</v>
      </c>
      <c r="B1868" s="282"/>
      <c r="C1868" s="283" t="s">
        <v>1517</v>
      </c>
      <c r="D1868" s="282" t="s">
        <v>1250</v>
      </c>
      <c r="E1868" s="282" t="s">
        <v>1518</v>
      </c>
      <c r="F1868" s="282" t="s">
        <v>1278</v>
      </c>
      <c r="G1868" s="284" t="s">
        <v>153</v>
      </c>
      <c r="H1868" s="283" t="s">
        <v>2456</v>
      </c>
      <c r="I1868" s="283" t="s">
        <v>1520</v>
      </c>
      <c r="J1868" s="779">
        <v>0.55000000000000004</v>
      </c>
      <c r="K1868" s="780"/>
    </row>
    <row r="1869" spans="1:11" ht="21.95" customHeight="1" x14ac:dyDescent="0.2">
      <c r="A1869" s="282" t="s">
        <v>1276</v>
      </c>
      <c r="B1869" s="282"/>
      <c r="C1869" s="283" t="s">
        <v>2457</v>
      </c>
      <c r="D1869" s="282" t="s">
        <v>1250</v>
      </c>
      <c r="E1869" s="282" t="s">
        <v>2458</v>
      </c>
      <c r="F1869" s="282" t="s">
        <v>1278</v>
      </c>
      <c r="G1869" s="284" t="s">
        <v>52</v>
      </c>
      <c r="H1869" s="283" t="s">
        <v>1262</v>
      </c>
      <c r="I1869" s="283" t="s">
        <v>2459</v>
      </c>
      <c r="J1869" s="779">
        <v>166.81</v>
      </c>
      <c r="K1869" s="780"/>
    </row>
    <row r="1870" spans="1:11" ht="21.95" customHeight="1" thickBot="1" x14ac:dyDescent="0.25">
      <c r="A1870" s="282" t="s">
        <v>1276</v>
      </c>
      <c r="B1870" s="282"/>
      <c r="C1870" s="283" t="s">
        <v>1407</v>
      </c>
      <c r="D1870" s="282" t="s">
        <v>1250</v>
      </c>
      <c r="E1870" s="282" t="s">
        <v>1408</v>
      </c>
      <c r="F1870" s="282" t="s">
        <v>1278</v>
      </c>
      <c r="G1870" s="284" t="s">
        <v>71</v>
      </c>
      <c r="H1870" s="283" t="s">
        <v>2460</v>
      </c>
      <c r="I1870" s="283" t="s">
        <v>1410</v>
      </c>
      <c r="J1870" s="770">
        <v>2.2799999999999998</v>
      </c>
      <c r="K1870" s="771"/>
    </row>
    <row r="1871" spans="1:11" ht="0.95" customHeight="1" thickTop="1" x14ac:dyDescent="0.2">
      <c r="A1871" s="281"/>
      <c r="B1871" s="281"/>
      <c r="C1871" s="281"/>
      <c r="D1871" s="281"/>
      <c r="E1871" s="281"/>
      <c r="F1871" s="281"/>
      <c r="G1871" s="281"/>
      <c r="H1871" s="281"/>
      <c r="I1871" s="281"/>
      <c r="J1871" s="421"/>
      <c r="K1871" s="421"/>
    </row>
    <row r="1872" spans="1:11" ht="18" customHeight="1" x14ac:dyDescent="0.2">
      <c r="A1872" s="272"/>
      <c r="B1872" s="272" t="s">
        <v>54</v>
      </c>
      <c r="C1872" s="273" t="s">
        <v>1239</v>
      </c>
      <c r="D1872" s="272" t="s">
        <v>1240</v>
      </c>
      <c r="E1872" s="272" t="s">
        <v>1241</v>
      </c>
      <c r="F1872" s="272" t="s">
        <v>1242</v>
      </c>
      <c r="G1872" s="274" t="s">
        <v>60</v>
      </c>
      <c r="H1872" s="273" t="s">
        <v>58</v>
      </c>
      <c r="I1872" s="273" t="s">
        <v>1243</v>
      </c>
      <c r="J1872" s="775" t="s">
        <v>196</v>
      </c>
      <c r="K1872" s="776"/>
    </row>
    <row r="1873" spans="1:11" ht="21.95" customHeight="1" x14ac:dyDescent="0.2">
      <c r="A1873" s="275" t="s">
        <v>1244</v>
      </c>
      <c r="B1873" s="275" t="s">
        <v>4690</v>
      </c>
      <c r="C1873" s="276" t="s">
        <v>2359</v>
      </c>
      <c r="D1873" s="275" t="s">
        <v>1246</v>
      </c>
      <c r="E1873" s="275" t="s">
        <v>700</v>
      </c>
      <c r="F1873" s="275" t="s">
        <v>1936</v>
      </c>
      <c r="G1873" s="277" t="s">
        <v>75</v>
      </c>
      <c r="H1873" s="276">
        <v>1</v>
      </c>
      <c r="I1873" s="276" t="s">
        <v>2360</v>
      </c>
      <c r="J1873" s="777" t="s">
        <v>2360</v>
      </c>
      <c r="K1873" s="778"/>
    </row>
    <row r="1874" spans="1:11" ht="21.95" customHeight="1" x14ac:dyDescent="0.2">
      <c r="A1874" s="278" t="s">
        <v>1248</v>
      </c>
      <c r="B1874" s="278"/>
      <c r="C1874" s="279" t="s">
        <v>1864</v>
      </c>
      <c r="D1874" s="278" t="s">
        <v>1250</v>
      </c>
      <c r="E1874" s="278" t="s">
        <v>1865</v>
      </c>
      <c r="F1874" s="278" t="s">
        <v>1252</v>
      </c>
      <c r="G1874" s="280" t="s">
        <v>1253</v>
      </c>
      <c r="H1874" s="279" t="s">
        <v>1346</v>
      </c>
      <c r="I1874" s="279" t="s">
        <v>1866</v>
      </c>
      <c r="J1874" s="781">
        <v>7.07</v>
      </c>
      <c r="K1874" s="782"/>
    </row>
    <row r="1875" spans="1:11" ht="21.95" customHeight="1" x14ac:dyDescent="0.2">
      <c r="A1875" s="278" t="s">
        <v>1248</v>
      </c>
      <c r="B1875" s="278"/>
      <c r="C1875" s="279" t="s">
        <v>1958</v>
      </c>
      <c r="D1875" s="278" t="s">
        <v>1250</v>
      </c>
      <c r="E1875" s="278" t="s">
        <v>1959</v>
      </c>
      <c r="F1875" s="278" t="s">
        <v>1252</v>
      </c>
      <c r="G1875" s="280" t="s">
        <v>1253</v>
      </c>
      <c r="H1875" s="279" t="s">
        <v>1346</v>
      </c>
      <c r="I1875" s="279" t="s">
        <v>1960</v>
      </c>
      <c r="J1875" s="781">
        <v>5.76</v>
      </c>
      <c r="K1875" s="782"/>
    </row>
    <row r="1876" spans="1:11" ht="21.95" customHeight="1" thickBot="1" x14ac:dyDescent="0.25">
      <c r="A1876" s="282" t="s">
        <v>1276</v>
      </c>
      <c r="B1876" s="282"/>
      <c r="C1876" s="283" t="s">
        <v>2361</v>
      </c>
      <c r="D1876" s="282" t="s">
        <v>1246</v>
      </c>
      <c r="E1876" s="282" t="s">
        <v>912</v>
      </c>
      <c r="F1876" s="282" t="s">
        <v>1278</v>
      </c>
      <c r="G1876" s="284" t="s">
        <v>52</v>
      </c>
      <c r="H1876" s="283" t="s">
        <v>1486</v>
      </c>
      <c r="I1876" s="283" t="s">
        <v>2362</v>
      </c>
      <c r="J1876" s="770">
        <v>6.07</v>
      </c>
      <c r="K1876" s="771"/>
    </row>
    <row r="1877" spans="1:11" ht="0.95" customHeight="1" thickTop="1" x14ac:dyDescent="0.2">
      <c r="A1877" s="281"/>
      <c r="B1877" s="281"/>
      <c r="C1877" s="281"/>
      <c r="D1877" s="281"/>
      <c r="E1877" s="281"/>
      <c r="F1877" s="281"/>
      <c r="G1877" s="281"/>
      <c r="H1877" s="281"/>
      <c r="I1877" s="281"/>
      <c r="J1877" s="421"/>
      <c r="K1877" s="421"/>
    </row>
    <row r="1878" spans="1:11" ht="18" customHeight="1" x14ac:dyDescent="0.2">
      <c r="A1878" s="272"/>
      <c r="B1878" s="272" t="s">
        <v>54</v>
      </c>
      <c r="C1878" s="273" t="s">
        <v>1239</v>
      </c>
      <c r="D1878" s="272" t="s">
        <v>1240</v>
      </c>
      <c r="E1878" s="272" t="s">
        <v>1241</v>
      </c>
      <c r="F1878" s="272" t="s">
        <v>1242</v>
      </c>
      <c r="G1878" s="274" t="s">
        <v>60</v>
      </c>
      <c r="H1878" s="273" t="s">
        <v>58</v>
      </c>
      <c r="I1878" s="273" t="s">
        <v>1243</v>
      </c>
      <c r="J1878" s="775" t="s">
        <v>196</v>
      </c>
      <c r="K1878" s="776"/>
    </row>
    <row r="1879" spans="1:11" ht="21.95" customHeight="1" x14ac:dyDescent="0.2">
      <c r="A1879" s="275" t="s">
        <v>1244</v>
      </c>
      <c r="B1879" s="275" t="s">
        <v>4691</v>
      </c>
      <c r="C1879" s="276" t="s">
        <v>2363</v>
      </c>
      <c r="D1879" s="275" t="s">
        <v>1246</v>
      </c>
      <c r="E1879" s="275" t="s">
        <v>702</v>
      </c>
      <c r="F1879" s="275" t="s">
        <v>1936</v>
      </c>
      <c r="G1879" s="277" t="s">
        <v>52</v>
      </c>
      <c r="H1879" s="276">
        <v>1</v>
      </c>
      <c r="I1879" s="276" t="s">
        <v>2364</v>
      </c>
      <c r="J1879" s="777" t="s">
        <v>2364</v>
      </c>
      <c r="K1879" s="778"/>
    </row>
    <row r="1880" spans="1:11" ht="21.95" customHeight="1" x14ac:dyDescent="0.2">
      <c r="A1880" s="278" t="s">
        <v>1248</v>
      </c>
      <c r="B1880" s="278"/>
      <c r="C1880" s="279" t="s">
        <v>1864</v>
      </c>
      <c r="D1880" s="278" t="s">
        <v>1250</v>
      </c>
      <c r="E1880" s="278" t="s">
        <v>1865</v>
      </c>
      <c r="F1880" s="278" t="s">
        <v>1252</v>
      </c>
      <c r="G1880" s="280" t="s">
        <v>1253</v>
      </c>
      <c r="H1880" s="279" t="s">
        <v>1352</v>
      </c>
      <c r="I1880" s="279" t="s">
        <v>1866</v>
      </c>
      <c r="J1880" s="781">
        <v>1.76</v>
      </c>
      <c r="K1880" s="782"/>
    </row>
    <row r="1881" spans="1:11" ht="21.95" customHeight="1" x14ac:dyDescent="0.2">
      <c r="A1881" s="278" t="s">
        <v>1248</v>
      </c>
      <c r="B1881" s="278"/>
      <c r="C1881" s="279" t="s">
        <v>1958</v>
      </c>
      <c r="D1881" s="278" t="s">
        <v>1250</v>
      </c>
      <c r="E1881" s="278" t="s">
        <v>1959</v>
      </c>
      <c r="F1881" s="278" t="s">
        <v>1252</v>
      </c>
      <c r="G1881" s="280" t="s">
        <v>1253</v>
      </c>
      <c r="H1881" s="279" t="s">
        <v>1553</v>
      </c>
      <c r="I1881" s="279" t="s">
        <v>1960</v>
      </c>
      <c r="J1881" s="781">
        <v>0.72</v>
      </c>
      <c r="K1881" s="782"/>
    </row>
    <row r="1882" spans="1:11" ht="21.95" customHeight="1" thickBot="1" x14ac:dyDescent="0.25">
      <c r="A1882" s="282" t="s">
        <v>1276</v>
      </c>
      <c r="B1882" s="282"/>
      <c r="C1882" s="283" t="s">
        <v>2365</v>
      </c>
      <c r="D1882" s="282" t="s">
        <v>1246</v>
      </c>
      <c r="E1882" s="282" t="s">
        <v>702</v>
      </c>
      <c r="F1882" s="282" t="s">
        <v>1278</v>
      </c>
      <c r="G1882" s="284" t="s">
        <v>52</v>
      </c>
      <c r="H1882" s="283" t="s">
        <v>1262</v>
      </c>
      <c r="I1882" s="283" t="s">
        <v>2366</v>
      </c>
      <c r="J1882" s="770">
        <v>1.65</v>
      </c>
      <c r="K1882" s="771"/>
    </row>
    <row r="1883" spans="1:11" ht="0.95" customHeight="1" thickTop="1" x14ac:dyDescent="0.2">
      <c r="A1883" s="281"/>
      <c r="B1883" s="281"/>
      <c r="C1883" s="281"/>
      <c r="D1883" s="281"/>
      <c r="E1883" s="281"/>
      <c r="F1883" s="281"/>
      <c r="G1883" s="281"/>
      <c r="H1883" s="281"/>
      <c r="I1883" s="281"/>
      <c r="J1883" s="421"/>
      <c r="K1883" s="421"/>
    </row>
    <row r="1884" spans="1:11" ht="18" customHeight="1" x14ac:dyDescent="0.2">
      <c r="A1884" s="272"/>
      <c r="B1884" s="272" t="s">
        <v>54</v>
      </c>
      <c r="C1884" s="273" t="s">
        <v>1239</v>
      </c>
      <c r="D1884" s="272" t="s">
        <v>1240</v>
      </c>
      <c r="E1884" s="272" t="s">
        <v>1241</v>
      </c>
      <c r="F1884" s="272" t="s">
        <v>1242</v>
      </c>
      <c r="G1884" s="274" t="s">
        <v>60</v>
      </c>
      <c r="H1884" s="273" t="s">
        <v>58</v>
      </c>
      <c r="I1884" s="273" t="s">
        <v>1243</v>
      </c>
      <c r="J1884" s="775" t="s">
        <v>196</v>
      </c>
      <c r="K1884" s="776"/>
    </row>
    <row r="1885" spans="1:11" ht="21.95" customHeight="1" x14ac:dyDescent="0.2">
      <c r="A1885" s="275" t="s">
        <v>1244</v>
      </c>
      <c r="B1885" s="275" t="s">
        <v>4692</v>
      </c>
      <c r="C1885" s="276" t="s">
        <v>2367</v>
      </c>
      <c r="D1885" s="275" t="s">
        <v>1246</v>
      </c>
      <c r="E1885" s="275" t="s">
        <v>704</v>
      </c>
      <c r="F1885" s="275" t="s">
        <v>1936</v>
      </c>
      <c r="G1885" s="277" t="s">
        <v>52</v>
      </c>
      <c r="H1885" s="276">
        <v>1</v>
      </c>
      <c r="I1885" s="276" t="s">
        <v>2368</v>
      </c>
      <c r="J1885" s="777" t="s">
        <v>2368</v>
      </c>
      <c r="K1885" s="778"/>
    </row>
    <row r="1886" spans="1:11" ht="21.95" customHeight="1" x14ac:dyDescent="0.2">
      <c r="A1886" s="278" t="s">
        <v>1248</v>
      </c>
      <c r="B1886" s="278"/>
      <c r="C1886" s="279" t="s">
        <v>1864</v>
      </c>
      <c r="D1886" s="278" t="s">
        <v>1250</v>
      </c>
      <c r="E1886" s="278" t="s">
        <v>1865</v>
      </c>
      <c r="F1886" s="278" t="s">
        <v>1252</v>
      </c>
      <c r="G1886" s="280" t="s">
        <v>1253</v>
      </c>
      <c r="H1886" s="279" t="s">
        <v>1346</v>
      </c>
      <c r="I1886" s="279" t="s">
        <v>1866</v>
      </c>
      <c r="J1886" s="781">
        <v>7.07</v>
      </c>
      <c r="K1886" s="782"/>
    </row>
    <row r="1887" spans="1:11" ht="21.95" customHeight="1" x14ac:dyDescent="0.2">
      <c r="A1887" s="278" t="s">
        <v>1248</v>
      </c>
      <c r="B1887" s="278"/>
      <c r="C1887" s="279" t="s">
        <v>1958</v>
      </c>
      <c r="D1887" s="278" t="s">
        <v>1250</v>
      </c>
      <c r="E1887" s="278" t="s">
        <v>1959</v>
      </c>
      <c r="F1887" s="278" t="s">
        <v>1252</v>
      </c>
      <c r="G1887" s="280" t="s">
        <v>1253</v>
      </c>
      <c r="H1887" s="279" t="s">
        <v>1619</v>
      </c>
      <c r="I1887" s="279" t="s">
        <v>1960</v>
      </c>
      <c r="J1887" s="781">
        <v>2.88</v>
      </c>
      <c r="K1887" s="782"/>
    </row>
    <row r="1888" spans="1:11" ht="21.95" customHeight="1" thickBot="1" x14ac:dyDescent="0.25">
      <c r="A1888" s="282" t="s">
        <v>1276</v>
      </c>
      <c r="B1888" s="282"/>
      <c r="C1888" s="283" t="s">
        <v>2369</v>
      </c>
      <c r="D1888" s="282" t="s">
        <v>1246</v>
      </c>
      <c r="E1888" s="282" t="s">
        <v>914</v>
      </c>
      <c r="F1888" s="282" t="s">
        <v>1278</v>
      </c>
      <c r="G1888" s="284" t="s">
        <v>2370</v>
      </c>
      <c r="H1888" s="283" t="s">
        <v>1262</v>
      </c>
      <c r="I1888" s="283" t="s">
        <v>2370</v>
      </c>
      <c r="J1888" s="770">
        <v>4.47</v>
      </c>
      <c r="K1888" s="771"/>
    </row>
    <row r="1889" spans="1:11" ht="0.95" customHeight="1" thickTop="1" x14ac:dyDescent="0.2">
      <c r="A1889" s="281"/>
      <c r="B1889" s="281"/>
      <c r="C1889" s="281"/>
      <c r="D1889" s="281"/>
      <c r="E1889" s="281"/>
      <c r="F1889" s="281"/>
      <c r="G1889" s="281"/>
      <c r="H1889" s="281"/>
      <c r="I1889" s="281"/>
      <c r="J1889" s="421"/>
      <c r="K1889" s="421"/>
    </row>
    <row r="1890" spans="1:11" ht="18" customHeight="1" x14ac:dyDescent="0.2">
      <c r="A1890" s="272"/>
      <c r="B1890" s="272" t="s">
        <v>54</v>
      </c>
      <c r="C1890" s="273" t="s">
        <v>1239</v>
      </c>
      <c r="D1890" s="272" t="s">
        <v>1240</v>
      </c>
      <c r="E1890" s="272" t="s">
        <v>1241</v>
      </c>
      <c r="F1890" s="272" t="s">
        <v>1242</v>
      </c>
      <c r="G1890" s="274" t="s">
        <v>60</v>
      </c>
      <c r="H1890" s="273" t="s">
        <v>58</v>
      </c>
      <c r="I1890" s="273" t="s">
        <v>1243</v>
      </c>
      <c r="J1890" s="775" t="s">
        <v>196</v>
      </c>
      <c r="K1890" s="776"/>
    </row>
    <row r="1891" spans="1:11" ht="21.95" customHeight="1" x14ac:dyDescent="0.2">
      <c r="A1891" s="275" t="s">
        <v>1244</v>
      </c>
      <c r="B1891" s="275" t="s">
        <v>4693</v>
      </c>
      <c r="C1891" s="276" t="s">
        <v>2030</v>
      </c>
      <c r="D1891" s="275" t="s">
        <v>1246</v>
      </c>
      <c r="E1891" s="275" t="s">
        <v>363</v>
      </c>
      <c r="F1891" s="275" t="s">
        <v>1936</v>
      </c>
      <c r="G1891" s="277" t="s">
        <v>52</v>
      </c>
      <c r="H1891" s="276">
        <v>1</v>
      </c>
      <c r="I1891" s="276" t="s">
        <v>1590</v>
      </c>
      <c r="J1891" s="777" t="s">
        <v>1590</v>
      </c>
      <c r="K1891" s="778"/>
    </row>
    <row r="1892" spans="1:11" ht="21.95" customHeight="1" x14ac:dyDescent="0.2">
      <c r="A1892" s="278" t="s">
        <v>1248</v>
      </c>
      <c r="B1892" s="278"/>
      <c r="C1892" s="279" t="s">
        <v>1958</v>
      </c>
      <c r="D1892" s="278" t="s">
        <v>1250</v>
      </c>
      <c r="E1892" s="278" t="s">
        <v>1959</v>
      </c>
      <c r="F1892" s="278" t="s">
        <v>1252</v>
      </c>
      <c r="G1892" s="280" t="s">
        <v>1253</v>
      </c>
      <c r="H1892" s="279" t="s">
        <v>1341</v>
      </c>
      <c r="I1892" s="279" t="s">
        <v>1960</v>
      </c>
      <c r="J1892" s="781">
        <v>3.6</v>
      </c>
      <c r="K1892" s="782"/>
    </row>
    <row r="1893" spans="1:11" ht="21.95" customHeight="1" thickBot="1" x14ac:dyDescent="0.25">
      <c r="A1893" s="282" t="s">
        <v>1276</v>
      </c>
      <c r="B1893" s="282"/>
      <c r="C1893" s="283" t="s">
        <v>2031</v>
      </c>
      <c r="D1893" s="282" t="s">
        <v>1250</v>
      </c>
      <c r="E1893" s="282" t="s">
        <v>2032</v>
      </c>
      <c r="F1893" s="282" t="s">
        <v>1278</v>
      </c>
      <c r="G1893" s="284" t="s">
        <v>52</v>
      </c>
      <c r="H1893" s="283" t="s">
        <v>1262</v>
      </c>
      <c r="I1893" s="283" t="s">
        <v>2011</v>
      </c>
      <c r="J1893" s="770">
        <v>0.98</v>
      </c>
      <c r="K1893" s="771"/>
    </row>
    <row r="1894" spans="1:11" ht="0.95" customHeight="1" thickTop="1" x14ac:dyDescent="0.2">
      <c r="A1894" s="281"/>
      <c r="B1894" s="281"/>
      <c r="C1894" s="281"/>
      <c r="D1894" s="281"/>
      <c r="E1894" s="281"/>
      <c r="F1894" s="281"/>
      <c r="G1894" s="281"/>
      <c r="H1894" s="281"/>
      <c r="I1894" s="281"/>
      <c r="J1894" s="421"/>
      <c r="K1894" s="421"/>
    </row>
    <row r="1895" spans="1:11" ht="18" customHeight="1" x14ac:dyDescent="0.2">
      <c r="A1895" s="272"/>
      <c r="B1895" s="272" t="s">
        <v>54</v>
      </c>
      <c r="C1895" s="273" t="s">
        <v>1239</v>
      </c>
      <c r="D1895" s="272" t="s">
        <v>1240</v>
      </c>
      <c r="E1895" s="272" t="s">
        <v>1241</v>
      </c>
      <c r="F1895" s="272" t="s">
        <v>1242</v>
      </c>
      <c r="G1895" s="274" t="s">
        <v>60</v>
      </c>
      <c r="H1895" s="273" t="s">
        <v>58</v>
      </c>
      <c r="I1895" s="273" t="s">
        <v>1243</v>
      </c>
      <c r="J1895" s="775" t="s">
        <v>196</v>
      </c>
      <c r="K1895" s="776"/>
    </row>
    <row r="1896" spans="1:11" ht="21.95" customHeight="1" x14ac:dyDescent="0.2">
      <c r="A1896" s="275" t="s">
        <v>1244</v>
      </c>
      <c r="B1896" s="275" t="s">
        <v>4694</v>
      </c>
      <c r="C1896" s="276" t="s">
        <v>4270</v>
      </c>
      <c r="D1896" s="275" t="s">
        <v>1246</v>
      </c>
      <c r="E1896" s="275" t="s">
        <v>3371</v>
      </c>
      <c r="F1896" s="275" t="s">
        <v>1750</v>
      </c>
      <c r="G1896" s="277" t="s">
        <v>52</v>
      </c>
      <c r="H1896" s="276">
        <v>1</v>
      </c>
      <c r="I1896" s="276" t="s">
        <v>4271</v>
      </c>
      <c r="J1896" s="777" t="s">
        <v>4271</v>
      </c>
      <c r="K1896" s="778"/>
    </row>
    <row r="1897" spans="1:11" ht="21.95" customHeight="1" x14ac:dyDescent="0.2">
      <c r="A1897" s="278" t="s">
        <v>1248</v>
      </c>
      <c r="B1897" s="278"/>
      <c r="C1897" s="279" t="s">
        <v>1384</v>
      </c>
      <c r="D1897" s="278" t="s">
        <v>1250</v>
      </c>
      <c r="E1897" s="278" t="s">
        <v>243</v>
      </c>
      <c r="F1897" s="278" t="s">
        <v>1385</v>
      </c>
      <c r="G1897" s="280" t="s">
        <v>153</v>
      </c>
      <c r="H1897" s="279" t="s">
        <v>4259</v>
      </c>
      <c r="I1897" s="279" t="s">
        <v>1386</v>
      </c>
      <c r="J1897" s="781">
        <v>124.16</v>
      </c>
      <c r="K1897" s="782"/>
    </row>
    <row r="1898" spans="1:11" ht="33" customHeight="1" x14ac:dyDescent="0.2">
      <c r="A1898" s="278" t="s">
        <v>1248</v>
      </c>
      <c r="B1898" s="278"/>
      <c r="C1898" s="279" t="s">
        <v>4262</v>
      </c>
      <c r="D1898" s="278" t="s">
        <v>1250</v>
      </c>
      <c r="E1898" s="278" t="s">
        <v>4263</v>
      </c>
      <c r="F1898" s="278" t="s">
        <v>1364</v>
      </c>
      <c r="G1898" s="280" t="s">
        <v>153</v>
      </c>
      <c r="H1898" s="279" t="s">
        <v>4259</v>
      </c>
      <c r="I1898" s="279" t="s">
        <v>4264</v>
      </c>
      <c r="J1898" s="781">
        <v>677.43</v>
      </c>
      <c r="K1898" s="782"/>
    </row>
    <row r="1899" spans="1:11" ht="21.95" customHeight="1" x14ac:dyDescent="0.2">
      <c r="A1899" s="278" t="s">
        <v>1248</v>
      </c>
      <c r="B1899" s="278"/>
      <c r="C1899" s="279" t="s">
        <v>4265</v>
      </c>
      <c r="D1899" s="278" t="s">
        <v>1250</v>
      </c>
      <c r="E1899" s="278" t="s">
        <v>4266</v>
      </c>
      <c r="F1899" s="278" t="s">
        <v>1364</v>
      </c>
      <c r="G1899" s="280" t="s">
        <v>153</v>
      </c>
      <c r="H1899" s="279" t="s">
        <v>4259</v>
      </c>
      <c r="I1899" s="279" t="s">
        <v>4267</v>
      </c>
      <c r="J1899" s="781">
        <v>205.84</v>
      </c>
      <c r="K1899" s="782"/>
    </row>
    <row r="1900" spans="1:11" ht="54.95" customHeight="1" x14ac:dyDescent="0.2">
      <c r="A1900" s="278" t="s">
        <v>1248</v>
      </c>
      <c r="B1900" s="278"/>
      <c r="C1900" s="279" t="s">
        <v>4272</v>
      </c>
      <c r="D1900" s="278" t="s">
        <v>1250</v>
      </c>
      <c r="E1900" s="278" t="s">
        <v>4273</v>
      </c>
      <c r="F1900" s="278" t="s">
        <v>1364</v>
      </c>
      <c r="G1900" s="280" t="s">
        <v>71</v>
      </c>
      <c r="H1900" s="279" t="s">
        <v>4261</v>
      </c>
      <c r="I1900" s="279" t="s">
        <v>2141</v>
      </c>
      <c r="J1900" s="781">
        <v>100.19</v>
      </c>
      <c r="K1900" s="782"/>
    </row>
    <row r="1901" spans="1:11" ht="54.95" customHeight="1" x14ac:dyDescent="0.2">
      <c r="A1901" s="278" t="s">
        <v>1248</v>
      </c>
      <c r="B1901" s="278"/>
      <c r="C1901" s="279" t="s">
        <v>4274</v>
      </c>
      <c r="D1901" s="278" t="s">
        <v>1250</v>
      </c>
      <c r="E1901" s="278" t="s">
        <v>500</v>
      </c>
      <c r="F1901" s="278" t="s">
        <v>1364</v>
      </c>
      <c r="G1901" s="280" t="s">
        <v>71</v>
      </c>
      <c r="H1901" s="279" t="s">
        <v>4260</v>
      </c>
      <c r="I1901" s="279" t="s">
        <v>4275</v>
      </c>
      <c r="J1901" s="781">
        <v>265.83</v>
      </c>
      <c r="K1901" s="782"/>
    </row>
    <row r="1902" spans="1:11" ht="21.95" customHeight="1" thickBot="1" x14ac:dyDescent="0.25">
      <c r="A1902" s="282" t="s">
        <v>1276</v>
      </c>
      <c r="B1902" s="282"/>
      <c r="C1902" s="283" t="s">
        <v>4276</v>
      </c>
      <c r="D1902" s="282" t="s">
        <v>1246</v>
      </c>
      <c r="E1902" s="282" t="s">
        <v>3833</v>
      </c>
      <c r="F1902" s="282" t="s">
        <v>1278</v>
      </c>
      <c r="G1902" s="284" t="s">
        <v>52</v>
      </c>
      <c r="H1902" s="283" t="s">
        <v>1262</v>
      </c>
      <c r="I1902" s="283" t="s">
        <v>4277</v>
      </c>
      <c r="J1902" s="770">
        <v>16900</v>
      </c>
      <c r="K1902" s="771"/>
    </row>
    <row r="1903" spans="1:11" ht="0.95" customHeight="1" thickTop="1" x14ac:dyDescent="0.2">
      <c r="A1903" s="281"/>
      <c r="B1903" s="281"/>
      <c r="C1903" s="281"/>
      <c r="D1903" s="281"/>
      <c r="E1903" s="281"/>
      <c r="F1903" s="281"/>
      <c r="G1903" s="281"/>
      <c r="H1903" s="281"/>
      <c r="I1903" s="281"/>
      <c r="J1903" s="421"/>
      <c r="K1903" s="421"/>
    </row>
    <row r="1904" spans="1:11" ht="18" customHeight="1" x14ac:dyDescent="0.2">
      <c r="A1904" s="272"/>
      <c r="B1904" s="272" t="s">
        <v>54</v>
      </c>
      <c r="C1904" s="273" t="s">
        <v>1239</v>
      </c>
      <c r="D1904" s="272" t="s">
        <v>1240</v>
      </c>
      <c r="E1904" s="272" t="s">
        <v>1241</v>
      </c>
      <c r="F1904" s="272" t="s">
        <v>1242</v>
      </c>
      <c r="G1904" s="274" t="s">
        <v>60</v>
      </c>
      <c r="H1904" s="273" t="s">
        <v>58</v>
      </c>
      <c r="I1904" s="273" t="s">
        <v>1243</v>
      </c>
      <c r="J1904" s="775" t="s">
        <v>196</v>
      </c>
      <c r="K1904" s="776"/>
    </row>
    <row r="1905" spans="1:11" ht="21.95" customHeight="1" x14ac:dyDescent="0.2">
      <c r="A1905" s="275" t="s">
        <v>1244</v>
      </c>
      <c r="B1905" s="275" t="s">
        <v>4695</v>
      </c>
      <c r="C1905" s="276" t="s">
        <v>2461</v>
      </c>
      <c r="D1905" s="275" t="s">
        <v>1246</v>
      </c>
      <c r="E1905" s="275" t="s">
        <v>731</v>
      </c>
      <c r="F1905" s="275" t="s">
        <v>1936</v>
      </c>
      <c r="G1905" s="277" t="s">
        <v>52</v>
      </c>
      <c r="H1905" s="276">
        <v>1</v>
      </c>
      <c r="I1905" s="276" t="s">
        <v>2462</v>
      </c>
      <c r="J1905" s="777" t="s">
        <v>2462</v>
      </c>
      <c r="K1905" s="778"/>
    </row>
    <row r="1906" spans="1:11" ht="21.95" customHeight="1" x14ac:dyDescent="0.2">
      <c r="A1906" s="278" t="s">
        <v>1248</v>
      </c>
      <c r="B1906" s="278"/>
      <c r="C1906" s="279" t="s">
        <v>1864</v>
      </c>
      <c r="D1906" s="278" t="s">
        <v>1250</v>
      </c>
      <c r="E1906" s="278" t="s">
        <v>1865</v>
      </c>
      <c r="F1906" s="278" t="s">
        <v>1252</v>
      </c>
      <c r="G1906" s="280" t="s">
        <v>1253</v>
      </c>
      <c r="H1906" s="279" t="s">
        <v>1262</v>
      </c>
      <c r="I1906" s="279" t="s">
        <v>1866</v>
      </c>
      <c r="J1906" s="781">
        <v>17.690000000000001</v>
      </c>
      <c r="K1906" s="782"/>
    </row>
    <row r="1907" spans="1:11" ht="21.95" customHeight="1" x14ac:dyDescent="0.2">
      <c r="A1907" s="278" t="s">
        <v>1248</v>
      </c>
      <c r="B1907" s="278"/>
      <c r="C1907" s="279" t="s">
        <v>1958</v>
      </c>
      <c r="D1907" s="278" t="s">
        <v>1250</v>
      </c>
      <c r="E1907" s="278" t="s">
        <v>1959</v>
      </c>
      <c r="F1907" s="278" t="s">
        <v>1252</v>
      </c>
      <c r="G1907" s="280" t="s">
        <v>1253</v>
      </c>
      <c r="H1907" s="279" t="s">
        <v>1262</v>
      </c>
      <c r="I1907" s="279" t="s">
        <v>1960</v>
      </c>
      <c r="J1907" s="781">
        <v>14.41</v>
      </c>
      <c r="K1907" s="782"/>
    </row>
    <row r="1908" spans="1:11" ht="21.95" customHeight="1" thickBot="1" x14ac:dyDescent="0.25">
      <c r="A1908" s="282" t="s">
        <v>1276</v>
      </c>
      <c r="B1908" s="282"/>
      <c r="C1908" s="283" t="s">
        <v>2463</v>
      </c>
      <c r="D1908" s="282" t="s">
        <v>1246</v>
      </c>
      <c r="E1908" s="282" t="s">
        <v>2464</v>
      </c>
      <c r="F1908" s="282" t="s">
        <v>1278</v>
      </c>
      <c r="G1908" s="284" t="s">
        <v>52</v>
      </c>
      <c r="H1908" s="283" t="s">
        <v>1262</v>
      </c>
      <c r="I1908" s="283" t="s">
        <v>2465</v>
      </c>
      <c r="J1908" s="770">
        <v>210.87</v>
      </c>
      <c r="K1908" s="771"/>
    </row>
    <row r="1909" spans="1:11" ht="0.95" customHeight="1" thickTop="1" x14ac:dyDescent="0.2">
      <c r="A1909" s="281"/>
      <c r="B1909" s="281"/>
      <c r="C1909" s="281"/>
      <c r="D1909" s="281"/>
      <c r="E1909" s="281"/>
      <c r="F1909" s="281"/>
      <c r="G1909" s="281"/>
      <c r="H1909" s="281"/>
      <c r="I1909" s="281"/>
      <c r="J1909" s="421"/>
      <c r="K1909" s="421"/>
    </row>
    <row r="1910" spans="1:11" ht="18" customHeight="1" x14ac:dyDescent="0.2">
      <c r="A1910" s="272"/>
      <c r="B1910" s="272" t="s">
        <v>54</v>
      </c>
      <c r="C1910" s="273" t="s">
        <v>1239</v>
      </c>
      <c r="D1910" s="272" t="s">
        <v>1240</v>
      </c>
      <c r="E1910" s="272" t="s">
        <v>1241</v>
      </c>
      <c r="F1910" s="272" t="s">
        <v>1242</v>
      </c>
      <c r="G1910" s="274" t="s">
        <v>60</v>
      </c>
      <c r="H1910" s="273" t="s">
        <v>58</v>
      </c>
      <c r="I1910" s="273" t="s">
        <v>1243</v>
      </c>
      <c r="J1910" s="775" t="s">
        <v>196</v>
      </c>
      <c r="K1910" s="776"/>
    </row>
    <row r="1911" spans="1:11" ht="21.95" customHeight="1" x14ac:dyDescent="0.2">
      <c r="A1911" s="275" t="s">
        <v>1244</v>
      </c>
      <c r="B1911" s="275" t="s">
        <v>4696</v>
      </c>
      <c r="C1911" s="276" t="s">
        <v>2466</v>
      </c>
      <c r="D1911" s="275" t="s">
        <v>1246</v>
      </c>
      <c r="E1911" s="275" t="s">
        <v>390</v>
      </c>
      <c r="F1911" s="275" t="s">
        <v>1936</v>
      </c>
      <c r="G1911" s="277" t="s">
        <v>52</v>
      </c>
      <c r="H1911" s="276">
        <v>1</v>
      </c>
      <c r="I1911" s="276" t="s">
        <v>2336</v>
      </c>
      <c r="J1911" s="777" t="s">
        <v>2336</v>
      </c>
      <c r="K1911" s="778"/>
    </row>
    <row r="1912" spans="1:11" ht="21.95" customHeight="1" x14ac:dyDescent="0.2">
      <c r="A1912" s="278" t="s">
        <v>1248</v>
      </c>
      <c r="B1912" s="278"/>
      <c r="C1912" s="279" t="s">
        <v>1864</v>
      </c>
      <c r="D1912" s="278" t="s">
        <v>1250</v>
      </c>
      <c r="E1912" s="278" t="s">
        <v>1865</v>
      </c>
      <c r="F1912" s="278" t="s">
        <v>1252</v>
      </c>
      <c r="G1912" s="280" t="s">
        <v>1253</v>
      </c>
      <c r="H1912" s="279" t="s">
        <v>1689</v>
      </c>
      <c r="I1912" s="279" t="s">
        <v>1866</v>
      </c>
      <c r="J1912" s="781">
        <v>8.84</v>
      </c>
      <c r="K1912" s="782"/>
    </row>
    <row r="1913" spans="1:11" ht="21.95" customHeight="1" thickBot="1" x14ac:dyDescent="0.25">
      <c r="A1913" s="282" t="s">
        <v>1276</v>
      </c>
      <c r="B1913" s="282"/>
      <c r="C1913" s="283" t="s">
        <v>2467</v>
      </c>
      <c r="D1913" s="282" t="s">
        <v>1250</v>
      </c>
      <c r="E1913" s="282" t="s">
        <v>2468</v>
      </c>
      <c r="F1913" s="282" t="s">
        <v>1278</v>
      </c>
      <c r="G1913" s="284" t="s">
        <v>52</v>
      </c>
      <c r="H1913" s="283" t="s">
        <v>1262</v>
      </c>
      <c r="I1913" s="283" t="s">
        <v>2469</v>
      </c>
      <c r="J1913" s="770">
        <v>25.71</v>
      </c>
      <c r="K1913" s="771"/>
    </row>
    <row r="1914" spans="1:11" ht="0.95" customHeight="1" thickTop="1" x14ac:dyDescent="0.2">
      <c r="A1914" s="281"/>
      <c r="B1914" s="281"/>
      <c r="C1914" s="281"/>
      <c r="D1914" s="281"/>
      <c r="E1914" s="281"/>
      <c r="F1914" s="281"/>
      <c r="G1914" s="281"/>
      <c r="H1914" s="281"/>
      <c r="I1914" s="281"/>
      <c r="J1914" s="421"/>
      <c r="K1914" s="421"/>
    </row>
    <row r="1915" spans="1:11" ht="50.1" customHeight="1" thickBot="1" x14ac:dyDescent="0.3">
      <c r="A1915" s="783" t="s">
        <v>2470</v>
      </c>
      <c r="B1915" s="783"/>
      <c r="C1915" s="783"/>
      <c r="D1915" s="783"/>
      <c r="E1915" s="783"/>
      <c r="F1915" s="783"/>
      <c r="G1915" s="783"/>
      <c r="H1915" s="783"/>
      <c r="I1915" s="783"/>
      <c r="J1915" s="783"/>
      <c r="K1915" s="783"/>
    </row>
    <row r="1916" spans="1:11" ht="0.95" customHeight="1" thickTop="1" x14ac:dyDescent="0.2">
      <c r="A1916" s="281"/>
      <c r="B1916" s="281"/>
      <c r="C1916" s="281"/>
      <c r="D1916" s="281"/>
      <c r="E1916" s="281"/>
      <c r="F1916" s="281"/>
      <c r="G1916" s="281"/>
      <c r="H1916" s="281"/>
      <c r="I1916" s="281"/>
      <c r="J1916" s="421"/>
      <c r="K1916" s="421"/>
    </row>
    <row r="1917" spans="1:11" ht="18" customHeight="1" x14ac:dyDescent="0.2">
      <c r="A1917" s="272"/>
      <c r="B1917" s="272" t="s">
        <v>54</v>
      </c>
      <c r="C1917" s="273" t="s">
        <v>1239</v>
      </c>
      <c r="D1917" s="272" t="s">
        <v>1240</v>
      </c>
      <c r="E1917" s="272" t="s">
        <v>1241</v>
      </c>
      <c r="F1917" s="272" t="s">
        <v>1242</v>
      </c>
      <c r="G1917" s="274" t="s">
        <v>60</v>
      </c>
      <c r="H1917" s="273" t="s">
        <v>58</v>
      </c>
      <c r="I1917" s="273" t="s">
        <v>1243</v>
      </c>
      <c r="J1917" s="775" t="s">
        <v>196</v>
      </c>
      <c r="K1917" s="776"/>
    </row>
    <row r="1918" spans="1:11" ht="21.95" customHeight="1" x14ac:dyDescent="0.2">
      <c r="A1918" s="275" t="s">
        <v>1244</v>
      </c>
      <c r="B1918" s="275"/>
      <c r="C1918" s="276" t="s">
        <v>1425</v>
      </c>
      <c r="D1918" s="275" t="s">
        <v>1246</v>
      </c>
      <c r="E1918" s="275" t="s">
        <v>422</v>
      </c>
      <c r="F1918" s="275" t="s">
        <v>1364</v>
      </c>
      <c r="G1918" s="277" t="s">
        <v>77</v>
      </c>
      <c r="H1918" s="276">
        <v>1</v>
      </c>
      <c r="I1918" s="276" t="s">
        <v>1426</v>
      </c>
      <c r="J1918" s="777" t="s">
        <v>1426</v>
      </c>
      <c r="K1918" s="778"/>
    </row>
    <row r="1919" spans="1:11" ht="21.95" customHeight="1" x14ac:dyDescent="0.2">
      <c r="A1919" s="278" t="s">
        <v>1248</v>
      </c>
      <c r="B1919" s="278"/>
      <c r="C1919" s="279" t="s">
        <v>1427</v>
      </c>
      <c r="D1919" s="278" t="s">
        <v>1250</v>
      </c>
      <c r="E1919" s="278" t="s">
        <v>1428</v>
      </c>
      <c r="F1919" s="278" t="s">
        <v>1252</v>
      </c>
      <c r="G1919" s="280" t="s">
        <v>1253</v>
      </c>
      <c r="H1919" s="279" t="s">
        <v>1429</v>
      </c>
      <c r="I1919" s="279" t="s">
        <v>1299</v>
      </c>
      <c r="J1919" s="781">
        <v>0.51</v>
      </c>
      <c r="K1919" s="782"/>
    </row>
    <row r="1920" spans="1:11" ht="21.95" customHeight="1" x14ac:dyDescent="0.2">
      <c r="A1920" s="278" t="s">
        <v>1248</v>
      </c>
      <c r="B1920" s="278"/>
      <c r="C1920" s="279" t="s">
        <v>1273</v>
      </c>
      <c r="D1920" s="278" t="s">
        <v>1250</v>
      </c>
      <c r="E1920" s="278" t="s">
        <v>1274</v>
      </c>
      <c r="F1920" s="278" t="s">
        <v>1252</v>
      </c>
      <c r="G1920" s="280" t="s">
        <v>1253</v>
      </c>
      <c r="H1920" s="279" t="s">
        <v>1430</v>
      </c>
      <c r="I1920" s="279" t="s">
        <v>1275</v>
      </c>
      <c r="J1920" s="781">
        <v>0.83</v>
      </c>
      <c r="K1920" s="782"/>
    </row>
    <row r="1921" spans="1:11" ht="21.95" customHeight="1" x14ac:dyDescent="0.2">
      <c r="A1921" s="282" t="s">
        <v>1276</v>
      </c>
      <c r="B1921" s="282"/>
      <c r="C1921" s="283" t="s">
        <v>1431</v>
      </c>
      <c r="D1921" s="282" t="s">
        <v>1250</v>
      </c>
      <c r="E1921" s="282" t="s">
        <v>1432</v>
      </c>
      <c r="F1921" s="282" t="s">
        <v>1278</v>
      </c>
      <c r="G1921" s="284" t="s">
        <v>71</v>
      </c>
      <c r="H1921" s="283" t="s">
        <v>1433</v>
      </c>
      <c r="I1921" s="283" t="s">
        <v>1434</v>
      </c>
      <c r="J1921" s="779">
        <v>0.12</v>
      </c>
      <c r="K1921" s="780"/>
    </row>
    <row r="1922" spans="1:11" ht="33" customHeight="1" thickBot="1" x14ac:dyDescent="0.25">
      <c r="A1922" s="282" t="s">
        <v>1276</v>
      </c>
      <c r="B1922" s="282"/>
      <c r="C1922" s="283" t="s">
        <v>1435</v>
      </c>
      <c r="D1922" s="282" t="s">
        <v>1250</v>
      </c>
      <c r="E1922" s="282" t="s">
        <v>1436</v>
      </c>
      <c r="F1922" s="282" t="s">
        <v>1278</v>
      </c>
      <c r="G1922" s="284" t="s">
        <v>77</v>
      </c>
      <c r="H1922" s="283" t="s">
        <v>1437</v>
      </c>
      <c r="I1922" s="283" t="s">
        <v>1438</v>
      </c>
      <c r="J1922" s="770">
        <v>20.399999999999999</v>
      </c>
      <c r="K1922" s="771"/>
    </row>
    <row r="1923" spans="1:11" ht="0.95" customHeight="1" thickTop="1" thickBot="1" x14ac:dyDescent="0.25">
      <c r="A1923" s="281"/>
      <c r="B1923" s="281"/>
      <c r="C1923" s="281"/>
      <c r="D1923" s="281"/>
      <c r="E1923" s="281"/>
      <c r="F1923" s="281"/>
      <c r="G1923" s="281"/>
      <c r="H1923" s="281"/>
      <c r="I1923" s="281"/>
      <c r="J1923" s="421"/>
      <c r="K1923" s="421"/>
    </row>
    <row r="1924" spans="1:11" ht="0.95" customHeight="1" thickTop="1" x14ac:dyDescent="0.2">
      <c r="A1924" s="281"/>
      <c r="B1924" s="281"/>
      <c r="C1924" s="281"/>
      <c r="D1924" s="281"/>
      <c r="E1924" s="281"/>
      <c r="F1924" s="281"/>
      <c r="G1924" s="281"/>
      <c r="H1924" s="281"/>
      <c r="I1924" s="281"/>
      <c r="J1924" s="421"/>
      <c r="K1924" s="421"/>
    </row>
    <row r="1925" spans="1:11" ht="18" customHeight="1" x14ac:dyDescent="0.2">
      <c r="A1925" s="272"/>
      <c r="B1925" s="272" t="s">
        <v>54</v>
      </c>
      <c r="C1925" s="273" t="s">
        <v>1239</v>
      </c>
      <c r="D1925" s="272" t="s">
        <v>1240</v>
      </c>
      <c r="E1925" s="272" t="s">
        <v>1241</v>
      </c>
      <c r="F1925" s="272" t="s">
        <v>1242</v>
      </c>
      <c r="G1925" s="274" t="s">
        <v>60</v>
      </c>
      <c r="H1925" s="273" t="s">
        <v>58</v>
      </c>
      <c r="I1925" s="273" t="s">
        <v>1243</v>
      </c>
      <c r="J1925" s="775" t="s">
        <v>196</v>
      </c>
      <c r="K1925" s="776"/>
    </row>
    <row r="1926" spans="1:11" ht="33" customHeight="1" x14ac:dyDescent="0.2">
      <c r="A1926" s="275" t="s">
        <v>1244</v>
      </c>
      <c r="B1926" s="275"/>
      <c r="C1926" s="276" t="s">
        <v>1422</v>
      </c>
      <c r="D1926" s="275" t="s">
        <v>1246</v>
      </c>
      <c r="E1926" s="275" t="s">
        <v>252</v>
      </c>
      <c r="F1926" s="275" t="s">
        <v>1364</v>
      </c>
      <c r="G1926" s="277" t="s">
        <v>153</v>
      </c>
      <c r="H1926" s="276">
        <v>1</v>
      </c>
      <c r="I1926" s="276" t="s">
        <v>1423</v>
      </c>
      <c r="J1926" s="777" t="s">
        <v>1423</v>
      </c>
      <c r="K1926" s="778"/>
    </row>
    <row r="1927" spans="1:11" ht="33" customHeight="1" thickBot="1" x14ac:dyDescent="0.25">
      <c r="A1927" s="282" t="s">
        <v>1276</v>
      </c>
      <c r="B1927" s="282"/>
      <c r="C1927" s="283" t="s">
        <v>1424</v>
      </c>
      <c r="D1927" s="282" t="s">
        <v>1250</v>
      </c>
      <c r="E1927" s="282" t="s">
        <v>252</v>
      </c>
      <c r="F1927" s="282" t="s">
        <v>1278</v>
      </c>
      <c r="G1927" s="284" t="s">
        <v>153</v>
      </c>
      <c r="H1927" s="283" t="s">
        <v>1262</v>
      </c>
      <c r="I1927" s="283" t="s">
        <v>1423</v>
      </c>
      <c r="J1927" s="770">
        <v>312.54000000000002</v>
      </c>
      <c r="K1927" s="771"/>
    </row>
    <row r="1928" spans="1:11" ht="0.95" customHeight="1" thickTop="1" x14ac:dyDescent="0.2">
      <c r="A1928" s="281"/>
      <c r="B1928" s="281"/>
      <c r="C1928" s="281"/>
      <c r="D1928" s="281"/>
      <c r="E1928" s="281"/>
      <c r="F1928" s="281"/>
      <c r="G1928" s="281"/>
      <c r="H1928" s="281"/>
      <c r="I1928" s="281"/>
      <c r="J1928" s="421"/>
      <c r="K1928" s="421"/>
    </row>
    <row r="1929" spans="1:11" ht="18" customHeight="1" x14ac:dyDescent="0.2">
      <c r="A1929" s="272"/>
      <c r="B1929" s="272" t="s">
        <v>54</v>
      </c>
      <c r="C1929" s="273" t="s">
        <v>1239</v>
      </c>
      <c r="D1929" s="272" t="s">
        <v>1240</v>
      </c>
      <c r="E1929" s="272" t="s">
        <v>1241</v>
      </c>
      <c r="F1929" s="272" t="s">
        <v>1242</v>
      </c>
      <c r="G1929" s="274" t="s">
        <v>60</v>
      </c>
      <c r="H1929" s="273" t="s">
        <v>58</v>
      </c>
      <c r="I1929" s="273" t="s">
        <v>1243</v>
      </c>
      <c r="J1929" s="775" t="s">
        <v>196</v>
      </c>
      <c r="K1929" s="776"/>
    </row>
    <row r="1930" spans="1:11" ht="44.1" customHeight="1" x14ac:dyDescent="0.2">
      <c r="A1930" s="275" t="s">
        <v>1244</v>
      </c>
      <c r="B1930" s="275"/>
      <c r="C1930" s="276" t="s">
        <v>2134</v>
      </c>
      <c r="D1930" s="275" t="s">
        <v>1246</v>
      </c>
      <c r="E1930" s="275" t="s">
        <v>2135</v>
      </c>
      <c r="F1930" s="275" t="s">
        <v>1364</v>
      </c>
      <c r="G1930" s="277" t="s">
        <v>153</v>
      </c>
      <c r="H1930" s="276">
        <v>1</v>
      </c>
      <c r="I1930" s="276" t="s">
        <v>2137</v>
      </c>
      <c r="J1930" s="777" t="s">
        <v>2137</v>
      </c>
      <c r="K1930" s="778"/>
    </row>
    <row r="1931" spans="1:11" ht="33" customHeight="1" x14ac:dyDescent="0.2">
      <c r="A1931" s="282" t="s">
        <v>1276</v>
      </c>
      <c r="B1931" s="282"/>
      <c r="C1931" s="283" t="s">
        <v>1424</v>
      </c>
      <c r="D1931" s="282" t="s">
        <v>1250</v>
      </c>
      <c r="E1931" s="282" t="s">
        <v>252</v>
      </c>
      <c r="F1931" s="282" t="s">
        <v>1278</v>
      </c>
      <c r="G1931" s="284" t="s">
        <v>153</v>
      </c>
      <c r="H1931" s="283" t="s">
        <v>1262</v>
      </c>
      <c r="I1931" s="283" t="s">
        <v>1423</v>
      </c>
      <c r="J1931" s="779">
        <v>312.54000000000002</v>
      </c>
      <c r="K1931" s="780"/>
    </row>
    <row r="1932" spans="1:11" ht="21.95" customHeight="1" thickBot="1" x14ac:dyDescent="0.25">
      <c r="A1932" s="282" t="s">
        <v>1276</v>
      </c>
      <c r="B1932" s="282"/>
      <c r="C1932" s="283" t="s">
        <v>2508</v>
      </c>
      <c r="D1932" s="282" t="s">
        <v>1250</v>
      </c>
      <c r="E1932" s="282" t="s">
        <v>2509</v>
      </c>
      <c r="F1932" s="282" t="s">
        <v>1278</v>
      </c>
      <c r="G1932" s="284" t="s">
        <v>749</v>
      </c>
      <c r="H1932" s="283" t="s">
        <v>2510</v>
      </c>
      <c r="I1932" s="283" t="s">
        <v>2511</v>
      </c>
      <c r="J1932" s="770">
        <v>97.95</v>
      </c>
      <c r="K1932" s="771"/>
    </row>
    <row r="1933" spans="1:11" ht="0.95" customHeight="1" thickTop="1" thickBot="1" x14ac:dyDescent="0.25">
      <c r="A1933" s="281"/>
      <c r="B1933" s="281"/>
      <c r="C1933" s="281"/>
      <c r="D1933" s="281"/>
      <c r="E1933" s="281"/>
      <c r="F1933" s="281"/>
      <c r="G1933" s="281"/>
      <c r="H1933" s="281"/>
      <c r="I1933" s="281"/>
      <c r="J1933" s="421"/>
      <c r="K1933" s="421"/>
    </row>
    <row r="1934" spans="1:11" ht="0.95" customHeight="1" thickTop="1" x14ac:dyDescent="0.2">
      <c r="A1934" s="281"/>
      <c r="B1934" s="281"/>
      <c r="C1934" s="281"/>
      <c r="D1934" s="281"/>
      <c r="E1934" s="281"/>
      <c r="F1934" s="281"/>
      <c r="G1934" s="281"/>
      <c r="H1934" s="281"/>
      <c r="I1934" s="281"/>
      <c r="J1934" s="421"/>
      <c r="K1934" s="421"/>
    </row>
    <row r="1935" spans="1:11" ht="18" customHeight="1" x14ac:dyDescent="0.2">
      <c r="A1935" s="272"/>
      <c r="B1935" s="272" t="s">
        <v>54</v>
      </c>
      <c r="C1935" s="273" t="s">
        <v>1239</v>
      </c>
      <c r="D1935" s="272" t="s">
        <v>1240</v>
      </c>
      <c r="E1935" s="272" t="s">
        <v>1241</v>
      </c>
      <c r="F1935" s="272" t="s">
        <v>1242</v>
      </c>
      <c r="G1935" s="274" t="s">
        <v>60</v>
      </c>
      <c r="H1935" s="273" t="s">
        <v>58</v>
      </c>
      <c r="I1935" s="273" t="s">
        <v>1243</v>
      </c>
      <c r="J1935" s="775" t="s">
        <v>196</v>
      </c>
      <c r="K1935" s="776"/>
    </row>
    <row r="1936" spans="1:11" ht="21.95" customHeight="1" x14ac:dyDescent="0.2">
      <c r="A1936" s="275" t="s">
        <v>1244</v>
      </c>
      <c r="B1936" s="275"/>
      <c r="C1936" s="276" t="s">
        <v>1912</v>
      </c>
      <c r="D1936" s="275" t="s">
        <v>1246</v>
      </c>
      <c r="E1936" s="275" t="s">
        <v>1913</v>
      </c>
      <c r="F1936" s="275" t="s">
        <v>1750</v>
      </c>
      <c r="G1936" s="277" t="s">
        <v>52</v>
      </c>
      <c r="H1936" s="276">
        <v>1</v>
      </c>
      <c r="I1936" s="276" t="s">
        <v>1914</v>
      </c>
      <c r="J1936" s="777" t="s">
        <v>1914</v>
      </c>
      <c r="K1936" s="778"/>
    </row>
    <row r="1937" spans="1:11" ht="21.95" customHeight="1" x14ac:dyDescent="0.2">
      <c r="A1937" s="278" t="s">
        <v>1248</v>
      </c>
      <c r="B1937" s="278"/>
      <c r="C1937" s="279" t="s">
        <v>1288</v>
      </c>
      <c r="D1937" s="278" t="s">
        <v>1250</v>
      </c>
      <c r="E1937" s="278" t="s">
        <v>1289</v>
      </c>
      <c r="F1937" s="278" t="s">
        <v>1252</v>
      </c>
      <c r="G1937" s="280" t="s">
        <v>1253</v>
      </c>
      <c r="H1937" s="279" t="s">
        <v>1343</v>
      </c>
      <c r="I1937" s="279" t="s">
        <v>1291</v>
      </c>
      <c r="J1937" s="781">
        <v>9.98</v>
      </c>
      <c r="K1937" s="782"/>
    </row>
    <row r="1938" spans="1:11" ht="21.95" customHeight="1" x14ac:dyDescent="0.2">
      <c r="A1938" s="278" t="s">
        <v>1248</v>
      </c>
      <c r="B1938" s="278"/>
      <c r="C1938" s="279" t="s">
        <v>1292</v>
      </c>
      <c r="D1938" s="278" t="s">
        <v>1250</v>
      </c>
      <c r="E1938" s="278" t="s">
        <v>1293</v>
      </c>
      <c r="F1938" s="278" t="s">
        <v>1252</v>
      </c>
      <c r="G1938" s="280" t="s">
        <v>1253</v>
      </c>
      <c r="H1938" s="279" t="s">
        <v>1343</v>
      </c>
      <c r="I1938" s="279" t="s">
        <v>1295</v>
      </c>
      <c r="J1938" s="781">
        <v>12.24</v>
      </c>
      <c r="K1938" s="782"/>
    </row>
    <row r="1939" spans="1:11" ht="21.95" customHeight="1" thickBot="1" x14ac:dyDescent="0.25">
      <c r="A1939" s="282" t="s">
        <v>1276</v>
      </c>
      <c r="B1939" s="282"/>
      <c r="C1939" s="283" t="s">
        <v>2512</v>
      </c>
      <c r="D1939" s="282" t="s">
        <v>1250</v>
      </c>
      <c r="E1939" s="282" t="s">
        <v>2513</v>
      </c>
      <c r="F1939" s="282" t="s">
        <v>1278</v>
      </c>
      <c r="G1939" s="284" t="s">
        <v>52</v>
      </c>
      <c r="H1939" s="283" t="s">
        <v>1977</v>
      </c>
      <c r="I1939" s="283" t="s">
        <v>2514</v>
      </c>
      <c r="J1939" s="770">
        <v>36.58</v>
      </c>
      <c r="K1939" s="771"/>
    </row>
    <row r="1940" spans="1:11" ht="0.95" customHeight="1" thickTop="1" thickBot="1" x14ac:dyDescent="0.25">
      <c r="A1940" s="281"/>
      <c r="B1940" s="281"/>
      <c r="C1940" s="281"/>
      <c r="D1940" s="281"/>
      <c r="E1940" s="281"/>
      <c r="F1940" s="281"/>
      <c r="G1940" s="281"/>
      <c r="H1940" s="281"/>
      <c r="I1940" s="281"/>
      <c r="J1940" s="421"/>
      <c r="K1940" s="421"/>
    </row>
    <row r="1941" spans="1:11" ht="0.95" customHeight="1" thickTop="1" x14ac:dyDescent="0.2">
      <c r="A1941" s="281"/>
      <c r="B1941" s="281"/>
      <c r="C1941" s="281"/>
      <c r="D1941" s="281"/>
      <c r="E1941" s="281"/>
      <c r="F1941" s="281"/>
      <c r="G1941" s="281"/>
      <c r="H1941" s="281"/>
      <c r="I1941" s="281"/>
      <c r="J1941" s="421"/>
      <c r="K1941" s="421"/>
    </row>
    <row r="1942" spans="1:11" ht="18" customHeight="1" x14ac:dyDescent="0.2">
      <c r="A1942" s="272"/>
      <c r="B1942" s="272" t="s">
        <v>54</v>
      </c>
      <c r="C1942" s="273" t="s">
        <v>1239</v>
      </c>
      <c r="D1942" s="272" t="s">
        <v>1240</v>
      </c>
      <c r="E1942" s="272" t="s">
        <v>1241</v>
      </c>
      <c r="F1942" s="272" t="s">
        <v>1242</v>
      </c>
      <c r="G1942" s="274" t="s">
        <v>60</v>
      </c>
      <c r="H1942" s="273" t="s">
        <v>58</v>
      </c>
      <c r="I1942" s="273" t="s">
        <v>1243</v>
      </c>
      <c r="J1942" s="775" t="s">
        <v>196</v>
      </c>
      <c r="K1942" s="776"/>
    </row>
    <row r="1943" spans="1:11" ht="21.95" customHeight="1" x14ac:dyDescent="0.2">
      <c r="A1943" s="275" t="s">
        <v>1244</v>
      </c>
      <c r="B1943" s="275"/>
      <c r="C1943" s="276" t="s">
        <v>4385</v>
      </c>
      <c r="D1943" s="275" t="s">
        <v>1246</v>
      </c>
      <c r="E1943" s="275" t="s">
        <v>4386</v>
      </c>
      <c r="F1943" s="275" t="s">
        <v>1874</v>
      </c>
      <c r="G1943" s="277" t="s">
        <v>75</v>
      </c>
      <c r="H1943" s="276">
        <v>1</v>
      </c>
      <c r="I1943" s="276" t="s">
        <v>4388</v>
      </c>
      <c r="J1943" s="777" t="s">
        <v>4388</v>
      </c>
      <c r="K1943" s="778"/>
    </row>
    <row r="1944" spans="1:11" ht="21.95" customHeight="1" x14ac:dyDescent="0.2">
      <c r="A1944" s="278" t="s">
        <v>1248</v>
      </c>
      <c r="B1944" s="278"/>
      <c r="C1944" s="279" t="s">
        <v>4697</v>
      </c>
      <c r="D1944" s="278" t="s">
        <v>1250</v>
      </c>
      <c r="E1944" s="278" t="s">
        <v>4698</v>
      </c>
      <c r="F1944" s="278" t="s">
        <v>1252</v>
      </c>
      <c r="G1944" s="280" t="s">
        <v>1253</v>
      </c>
      <c r="H1944" s="279" t="s">
        <v>4699</v>
      </c>
      <c r="I1944" s="279" t="s">
        <v>4700</v>
      </c>
      <c r="J1944" s="781">
        <v>7.39</v>
      </c>
      <c r="K1944" s="782"/>
    </row>
    <row r="1945" spans="1:11" ht="21.95" customHeight="1" x14ac:dyDescent="0.2">
      <c r="A1945" s="278" t="s">
        <v>1248</v>
      </c>
      <c r="B1945" s="278"/>
      <c r="C1945" s="279" t="s">
        <v>1273</v>
      </c>
      <c r="D1945" s="278" t="s">
        <v>1250</v>
      </c>
      <c r="E1945" s="278" t="s">
        <v>1274</v>
      </c>
      <c r="F1945" s="278" t="s">
        <v>1252</v>
      </c>
      <c r="G1945" s="280" t="s">
        <v>1253</v>
      </c>
      <c r="H1945" s="279" t="s">
        <v>4701</v>
      </c>
      <c r="I1945" s="279" t="s">
        <v>1275</v>
      </c>
      <c r="J1945" s="781">
        <v>9.92</v>
      </c>
      <c r="K1945" s="782"/>
    </row>
    <row r="1946" spans="1:11" ht="33" customHeight="1" x14ac:dyDescent="0.2">
      <c r="A1946" s="278" t="s">
        <v>1248</v>
      </c>
      <c r="B1946" s="278"/>
      <c r="C1946" s="279" t="s">
        <v>4702</v>
      </c>
      <c r="D1946" s="278" t="s">
        <v>1250</v>
      </c>
      <c r="E1946" s="278" t="s">
        <v>4703</v>
      </c>
      <c r="F1946" s="278" t="s">
        <v>1481</v>
      </c>
      <c r="G1946" s="280" t="s">
        <v>1482</v>
      </c>
      <c r="H1946" s="279" t="s">
        <v>4704</v>
      </c>
      <c r="I1946" s="279" t="s">
        <v>4705</v>
      </c>
      <c r="J1946" s="781">
        <v>9.1999999999999993</v>
      </c>
      <c r="K1946" s="782"/>
    </row>
    <row r="1947" spans="1:11" ht="33" customHeight="1" x14ac:dyDescent="0.2">
      <c r="A1947" s="278" t="s">
        <v>1248</v>
      </c>
      <c r="B1947" s="278"/>
      <c r="C1947" s="279" t="s">
        <v>4706</v>
      </c>
      <c r="D1947" s="278" t="s">
        <v>1250</v>
      </c>
      <c r="E1947" s="278" t="s">
        <v>4707</v>
      </c>
      <c r="F1947" s="278" t="s">
        <v>1481</v>
      </c>
      <c r="G1947" s="280" t="s">
        <v>1649</v>
      </c>
      <c r="H1947" s="279" t="s">
        <v>4708</v>
      </c>
      <c r="I1947" s="279" t="s">
        <v>4709</v>
      </c>
      <c r="J1947" s="781">
        <v>7.18</v>
      </c>
      <c r="K1947" s="782"/>
    </row>
    <row r="1948" spans="1:11" ht="21.95" customHeight="1" thickBot="1" x14ac:dyDescent="0.25">
      <c r="A1948" s="282" t="s">
        <v>1276</v>
      </c>
      <c r="B1948" s="282"/>
      <c r="C1948" s="283" t="s">
        <v>4710</v>
      </c>
      <c r="D1948" s="282" t="s">
        <v>1250</v>
      </c>
      <c r="E1948" s="282" t="s">
        <v>4711</v>
      </c>
      <c r="F1948" s="282" t="s">
        <v>1278</v>
      </c>
      <c r="G1948" s="284" t="s">
        <v>75</v>
      </c>
      <c r="H1948" s="283" t="s">
        <v>1262</v>
      </c>
      <c r="I1948" s="283" t="s">
        <v>4712</v>
      </c>
      <c r="J1948" s="770">
        <v>1204.04</v>
      </c>
      <c r="K1948" s="771"/>
    </row>
    <row r="1949" spans="1:11" ht="0.95" customHeight="1" thickTop="1" x14ac:dyDescent="0.2">
      <c r="A1949" s="281"/>
      <c r="B1949" s="281"/>
      <c r="C1949" s="281"/>
      <c r="D1949" s="281"/>
      <c r="E1949" s="281"/>
      <c r="F1949" s="281"/>
      <c r="G1949" s="281"/>
      <c r="H1949" s="281"/>
      <c r="I1949" s="281"/>
      <c r="J1949" s="421"/>
      <c r="K1949" s="421"/>
    </row>
    <row r="1950" spans="1:11" ht="18" customHeight="1" x14ac:dyDescent="0.2">
      <c r="A1950" s="272"/>
      <c r="B1950" s="272" t="s">
        <v>54</v>
      </c>
      <c r="C1950" s="273" t="s">
        <v>1239</v>
      </c>
      <c r="D1950" s="272" t="s">
        <v>1240</v>
      </c>
      <c r="E1950" s="272" t="s">
        <v>1241</v>
      </c>
      <c r="F1950" s="272" t="s">
        <v>1242</v>
      </c>
      <c r="G1950" s="274" t="s">
        <v>60</v>
      </c>
      <c r="H1950" s="273" t="s">
        <v>58</v>
      </c>
      <c r="I1950" s="273" t="s">
        <v>1243</v>
      </c>
      <c r="J1950" s="775" t="s">
        <v>196</v>
      </c>
      <c r="K1950" s="776"/>
    </row>
    <row r="1951" spans="1:11" ht="21.95" customHeight="1" x14ac:dyDescent="0.2">
      <c r="A1951" s="275" t="s">
        <v>1244</v>
      </c>
      <c r="B1951" s="275"/>
      <c r="C1951" s="276" t="s">
        <v>1915</v>
      </c>
      <c r="D1951" s="275" t="s">
        <v>1246</v>
      </c>
      <c r="E1951" s="275" t="s">
        <v>1916</v>
      </c>
      <c r="F1951" s="275" t="s">
        <v>1550</v>
      </c>
      <c r="G1951" s="277" t="s">
        <v>52</v>
      </c>
      <c r="H1951" s="276">
        <v>1</v>
      </c>
      <c r="I1951" s="276" t="s">
        <v>1917</v>
      </c>
      <c r="J1951" s="777" t="s">
        <v>1917</v>
      </c>
      <c r="K1951" s="778"/>
    </row>
    <row r="1952" spans="1:11" ht="21.95" customHeight="1" x14ac:dyDescent="0.2">
      <c r="A1952" s="278" t="s">
        <v>1248</v>
      </c>
      <c r="B1952" s="278"/>
      <c r="C1952" s="279" t="s">
        <v>1288</v>
      </c>
      <c r="D1952" s="278" t="s">
        <v>1250</v>
      </c>
      <c r="E1952" s="278" t="s">
        <v>1289</v>
      </c>
      <c r="F1952" s="278" t="s">
        <v>1252</v>
      </c>
      <c r="G1952" s="280" t="s">
        <v>1253</v>
      </c>
      <c r="H1952" s="279" t="s">
        <v>1514</v>
      </c>
      <c r="I1952" s="279" t="s">
        <v>1291</v>
      </c>
      <c r="J1952" s="781">
        <v>8.69</v>
      </c>
      <c r="K1952" s="782"/>
    </row>
    <row r="1953" spans="1:11" ht="21.95" customHeight="1" x14ac:dyDescent="0.2">
      <c r="A1953" s="278" t="s">
        <v>1248</v>
      </c>
      <c r="B1953" s="278"/>
      <c r="C1953" s="279" t="s">
        <v>1292</v>
      </c>
      <c r="D1953" s="278" t="s">
        <v>1250</v>
      </c>
      <c r="E1953" s="278" t="s">
        <v>1293</v>
      </c>
      <c r="F1953" s="278" t="s">
        <v>1252</v>
      </c>
      <c r="G1953" s="280" t="s">
        <v>1253</v>
      </c>
      <c r="H1953" s="279" t="s">
        <v>1514</v>
      </c>
      <c r="I1953" s="279" t="s">
        <v>1295</v>
      </c>
      <c r="J1953" s="781">
        <v>10.66</v>
      </c>
      <c r="K1953" s="782"/>
    </row>
    <row r="1954" spans="1:11" ht="21.95" customHeight="1" x14ac:dyDescent="0.2">
      <c r="A1954" s="282" t="s">
        <v>1276</v>
      </c>
      <c r="B1954" s="282"/>
      <c r="C1954" s="283" t="s">
        <v>2407</v>
      </c>
      <c r="D1954" s="282" t="s">
        <v>1250</v>
      </c>
      <c r="E1954" s="282" t="s">
        <v>2408</v>
      </c>
      <c r="F1954" s="282" t="s">
        <v>1278</v>
      </c>
      <c r="G1954" s="284" t="s">
        <v>52</v>
      </c>
      <c r="H1954" s="283" t="s">
        <v>2515</v>
      </c>
      <c r="I1954" s="283" t="s">
        <v>2409</v>
      </c>
      <c r="J1954" s="779">
        <v>0.11</v>
      </c>
      <c r="K1954" s="780"/>
    </row>
    <row r="1955" spans="1:11" ht="21.95" customHeight="1" thickBot="1" x14ac:dyDescent="0.25">
      <c r="A1955" s="282" t="s">
        <v>1276</v>
      </c>
      <c r="B1955" s="282"/>
      <c r="C1955" s="283" t="s">
        <v>1922</v>
      </c>
      <c r="D1955" s="282" t="s">
        <v>1250</v>
      </c>
      <c r="E1955" s="282" t="s">
        <v>1923</v>
      </c>
      <c r="F1955" s="282" t="s">
        <v>1278</v>
      </c>
      <c r="G1955" s="284" t="s">
        <v>52</v>
      </c>
      <c r="H1955" s="283" t="s">
        <v>1262</v>
      </c>
      <c r="I1955" s="283" t="s">
        <v>1924</v>
      </c>
      <c r="J1955" s="770">
        <v>18.89</v>
      </c>
      <c r="K1955" s="771"/>
    </row>
    <row r="1956" spans="1:11" ht="0.95" customHeight="1" thickTop="1" thickBot="1" x14ac:dyDescent="0.25">
      <c r="A1956" s="281"/>
      <c r="B1956" s="281"/>
      <c r="C1956" s="281"/>
      <c r="D1956" s="281"/>
      <c r="E1956" s="281"/>
      <c r="F1956" s="281"/>
      <c r="G1956" s="281"/>
      <c r="H1956" s="281"/>
      <c r="I1956" s="281"/>
      <c r="J1956" s="421"/>
      <c r="K1956" s="421"/>
    </row>
    <row r="1957" spans="1:11" ht="0.95" customHeight="1" thickTop="1" x14ac:dyDescent="0.2">
      <c r="A1957" s="281"/>
      <c r="B1957" s="281"/>
      <c r="C1957" s="281"/>
      <c r="D1957" s="281"/>
      <c r="E1957" s="281"/>
      <c r="F1957" s="281"/>
      <c r="G1957" s="281"/>
      <c r="H1957" s="281"/>
      <c r="I1957" s="281"/>
      <c r="J1957" s="421"/>
      <c r="K1957" s="421"/>
    </row>
    <row r="1958" spans="1:11" ht="18" customHeight="1" x14ac:dyDescent="0.2">
      <c r="A1958" s="272"/>
      <c r="B1958" s="272" t="s">
        <v>54</v>
      </c>
      <c r="C1958" s="273" t="s">
        <v>1239</v>
      </c>
      <c r="D1958" s="272" t="s">
        <v>1240</v>
      </c>
      <c r="E1958" s="272" t="s">
        <v>1241</v>
      </c>
      <c r="F1958" s="272" t="s">
        <v>1242</v>
      </c>
      <c r="G1958" s="274" t="s">
        <v>60</v>
      </c>
      <c r="H1958" s="273" t="s">
        <v>58</v>
      </c>
      <c r="I1958" s="273" t="s">
        <v>1243</v>
      </c>
      <c r="J1958" s="775" t="s">
        <v>196</v>
      </c>
      <c r="K1958" s="776"/>
    </row>
    <row r="1959" spans="1:11" ht="21.95" customHeight="1" x14ac:dyDescent="0.2">
      <c r="A1959" s="275" t="s">
        <v>1244</v>
      </c>
      <c r="B1959" s="275"/>
      <c r="C1959" s="276" t="s">
        <v>2127</v>
      </c>
      <c r="D1959" s="275" t="s">
        <v>1246</v>
      </c>
      <c r="E1959" s="275" t="s">
        <v>2128</v>
      </c>
      <c r="F1959" s="275" t="s">
        <v>1750</v>
      </c>
      <c r="G1959" s="277" t="s">
        <v>77</v>
      </c>
      <c r="H1959" s="276">
        <v>1</v>
      </c>
      <c r="I1959" s="276" t="s">
        <v>2130</v>
      </c>
      <c r="J1959" s="777" t="s">
        <v>2130</v>
      </c>
      <c r="K1959" s="778"/>
    </row>
    <row r="1960" spans="1:11" ht="21.95" customHeight="1" x14ac:dyDescent="0.2">
      <c r="A1960" s="278" t="s">
        <v>1248</v>
      </c>
      <c r="B1960" s="278"/>
      <c r="C1960" s="279" t="s">
        <v>1273</v>
      </c>
      <c r="D1960" s="278" t="s">
        <v>1250</v>
      </c>
      <c r="E1960" s="278" t="s">
        <v>1274</v>
      </c>
      <c r="F1960" s="278" t="s">
        <v>1252</v>
      </c>
      <c r="G1960" s="280" t="s">
        <v>1253</v>
      </c>
      <c r="H1960" s="279" t="s">
        <v>1346</v>
      </c>
      <c r="I1960" s="279" t="s">
        <v>1275</v>
      </c>
      <c r="J1960" s="781">
        <v>5.55</v>
      </c>
      <c r="K1960" s="782"/>
    </row>
    <row r="1961" spans="1:11" ht="21.95" customHeight="1" thickBot="1" x14ac:dyDescent="0.25">
      <c r="A1961" s="282" t="s">
        <v>1276</v>
      </c>
      <c r="B1961" s="282"/>
      <c r="C1961" s="283" t="s">
        <v>2516</v>
      </c>
      <c r="D1961" s="282" t="s">
        <v>1246</v>
      </c>
      <c r="E1961" s="282" t="s">
        <v>1039</v>
      </c>
      <c r="F1961" s="282" t="s">
        <v>1278</v>
      </c>
      <c r="G1961" s="284" t="s">
        <v>2517</v>
      </c>
      <c r="H1961" s="283" t="s">
        <v>2518</v>
      </c>
      <c r="I1961" s="283" t="s">
        <v>2519</v>
      </c>
      <c r="J1961" s="770">
        <v>7.02</v>
      </c>
      <c r="K1961" s="771"/>
    </row>
    <row r="1962" spans="1:11" ht="0.95" customHeight="1" thickTop="1" thickBot="1" x14ac:dyDescent="0.25">
      <c r="A1962" s="281"/>
      <c r="B1962" s="281"/>
      <c r="C1962" s="281"/>
      <c r="D1962" s="281"/>
      <c r="E1962" s="281"/>
      <c r="F1962" s="281"/>
      <c r="G1962" s="281"/>
      <c r="H1962" s="281"/>
      <c r="I1962" s="281"/>
      <c r="J1962" s="421"/>
      <c r="K1962" s="421"/>
    </row>
    <row r="1963" spans="1:11" ht="0.95" customHeight="1" thickTop="1" x14ac:dyDescent="0.2">
      <c r="A1963" s="281"/>
      <c r="B1963" s="281"/>
      <c r="C1963" s="281"/>
      <c r="D1963" s="281"/>
      <c r="E1963" s="281"/>
      <c r="F1963" s="281"/>
      <c r="G1963" s="281"/>
      <c r="H1963" s="281"/>
      <c r="I1963" s="281"/>
      <c r="J1963" s="421"/>
      <c r="K1963" s="421"/>
    </row>
    <row r="1964" spans="1:11" ht="18" customHeight="1" x14ac:dyDescent="0.2">
      <c r="A1964" s="272"/>
      <c r="B1964" s="272" t="s">
        <v>54</v>
      </c>
      <c r="C1964" s="273" t="s">
        <v>1239</v>
      </c>
      <c r="D1964" s="272" t="s">
        <v>1240</v>
      </c>
      <c r="E1964" s="272" t="s">
        <v>1241</v>
      </c>
      <c r="F1964" s="272" t="s">
        <v>1242</v>
      </c>
      <c r="G1964" s="274" t="s">
        <v>60</v>
      </c>
      <c r="H1964" s="273" t="s">
        <v>58</v>
      </c>
      <c r="I1964" s="273" t="s">
        <v>1243</v>
      </c>
      <c r="J1964" s="775" t="s">
        <v>196</v>
      </c>
      <c r="K1964" s="776"/>
    </row>
    <row r="1965" spans="1:11" ht="33" customHeight="1" x14ac:dyDescent="0.2">
      <c r="A1965" s="275" t="s">
        <v>1244</v>
      </c>
      <c r="B1965" s="275"/>
      <c r="C1965" s="276" t="s">
        <v>2228</v>
      </c>
      <c r="D1965" s="275" t="s">
        <v>1246</v>
      </c>
      <c r="E1965" s="275" t="s">
        <v>1089</v>
      </c>
      <c r="F1965" s="275" t="s">
        <v>1750</v>
      </c>
      <c r="G1965" s="277" t="s">
        <v>52</v>
      </c>
      <c r="H1965" s="276">
        <v>1</v>
      </c>
      <c r="I1965" s="276" t="s">
        <v>2229</v>
      </c>
      <c r="J1965" s="777" t="s">
        <v>2229</v>
      </c>
      <c r="K1965" s="778"/>
    </row>
    <row r="1966" spans="1:11" ht="21.95" customHeight="1" x14ac:dyDescent="0.2">
      <c r="A1966" s="278" t="s">
        <v>1248</v>
      </c>
      <c r="B1966" s="278"/>
      <c r="C1966" s="279" t="s">
        <v>1273</v>
      </c>
      <c r="D1966" s="278" t="s">
        <v>1250</v>
      </c>
      <c r="E1966" s="278" t="s">
        <v>1274</v>
      </c>
      <c r="F1966" s="278" t="s">
        <v>1252</v>
      </c>
      <c r="G1966" s="280" t="s">
        <v>1253</v>
      </c>
      <c r="H1966" s="279" t="s">
        <v>2520</v>
      </c>
      <c r="I1966" s="279" t="s">
        <v>1275</v>
      </c>
      <c r="J1966" s="781">
        <v>24.3</v>
      </c>
      <c r="K1966" s="782"/>
    </row>
    <row r="1967" spans="1:11" ht="21.95" customHeight="1" x14ac:dyDescent="0.2">
      <c r="A1967" s="278" t="s">
        <v>1248</v>
      </c>
      <c r="B1967" s="278"/>
      <c r="C1967" s="279" t="s">
        <v>1292</v>
      </c>
      <c r="D1967" s="278" t="s">
        <v>1250</v>
      </c>
      <c r="E1967" s="278" t="s">
        <v>1293</v>
      </c>
      <c r="F1967" s="278" t="s">
        <v>1252</v>
      </c>
      <c r="G1967" s="280" t="s">
        <v>1253</v>
      </c>
      <c r="H1967" s="279" t="s">
        <v>2520</v>
      </c>
      <c r="I1967" s="279" t="s">
        <v>1295</v>
      </c>
      <c r="J1967" s="781">
        <v>30.6</v>
      </c>
      <c r="K1967" s="782"/>
    </row>
    <row r="1968" spans="1:11" ht="21.95" customHeight="1" x14ac:dyDescent="0.2">
      <c r="A1968" s="282" t="s">
        <v>1276</v>
      </c>
      <c r="B1968" s="282"/>
      <c r="C1968" s="283" t="s">
        <v>1928</v>
      </c>
      <c r="D1968" s="282" t="s">
        <v>1250</v>
      </c>
      <c r="E1968" s="282" t="s">
        <v>1929</v>
      </c>
      <c r="F1968" s="282" t="s">
        <v>1278</v>
      </c>
      <c r="G1968" s="284" t="s">
        <v>52</v>
      </c>
      <c r="H1968" s="283" t="s">
        <v>1429</v>
      </c>
      <c r="I1968" s="283" t="s">
        <v>1931</v>
      </c>
      <c r="J1968" s="779">
        <v>0.08</v>
      </c>
      <c r="K1968" s="780"/>
    </row>
    <row r="1969" spans="1:11" ht="21.95" customHeight="1" thickBot="1" x14ac:dyDescent="0.25">
      <c r="A1969" s="282" t="s">
        <v>1276</v>
      </c>
      <c r="B1969" s="282"/>
      <c r="C1969" s="283" t="s">
        <v>2521</v>
      </c>
      <c r="D1969" s="282" t="s">
        <v>1246</v>
      </c>
      <c r="E1969" s="282" t="s">
        <v>813</v>
      </c>
      <c r="F1969" s="282" t="s">
        <v>1278</v>
      </c>
      <c r="G1969" s="284" t="s">
        <v>52</v>
      </c>
      <c r="H1969" s="283" t="s">
        <v>1262</v>
      </c>
      <c r="I1969" s="283" t="s">
        <v>2522</v>
      </c>
      <c r="J1969" s="770">
        <v>496.02</v>
      </c>
      <c r="K1969" s="771"/>
    </row>
    <row r="1970" spans="1:11" ht="0.95" customHeight="1" thickTop="1" thickBot="1" x14ac:dyDescent="0.25">
      <c r="A1970" s="281"/>
      <c r="B1970" s="281"/>
      <c r="C1970" s="281"/>
      <c r="D1970" s="281"/>
      <c r="E1970" s="281"/>
      <c r="F1970" s="281"/>
      <c r="G1970" s="281"/>
      <c r="H1970" s="281"/>
      <c r="I1970" s="281"/>
      <c r="J1970" s="421"/>
      <c r="K1970" s="421"/>
    </row>
    <row r="1971" spans="1:11" ht="0.95" customHeight="1" thickTop="1" x14ac:dyDescent="0.2">
      <c r="A1971" s="281"/>
      <c r="B1971" s="281"/>
      <c r="C1971" s="281"/>
      <c r="D1971" s="281"/>
      <c r="E1971" s="281"/>
      <c r="F1971" s="281"/>
      <c r="G1971" s="281"/>
      <c r="H1971" s="281"/>
      <c r="I1971" s="281"/>
      <c r="J1971" s="421"/>
      <c r="K1971" s="421"/>
    </row>
    <row r="1972" spans="1:11" ht="18" customHeight="1" x14ac:dyDescent="0.2">
      <c r="A1972" s="272"/>
      <c r="B1972" s="272" t="s">
        <v>54</v>
      </c>
      <c r="C1972" s="273" t="s">
        <v>1239</v>
      </c>
      <c r="D1972" s="272" t="s">
        <v>1240</v>
      </c>
      <c r="E1972" s="272" t="s">
        <v>1241</v>
      </c>
      <c r="F1972" s="272" t="s">
        <v>1242</v>
      </c>
      <c r="G1972" s="274" t="s">
        <v>60</v>
      </c>
      <c r="H1972" s="273" t="s">
        <v>58</v>
      </c>
      <c r="I1972" s="273" t="s">
        <v>1243</v>
      </c>
      <c r="J1972" s="775" t="s">
        <v>196</v>
      </c>
      <c r="K1972" s="776"/>
    </row>
    <row r="1973" spans="1:11" ht="21.95" customHeight="1" x14ac:dyDescent="0.2">
      <c r="A1973" s="275" t="s">
        <v>1244</v>
      </c>
      <c r="B1973" s="275"/>
      <c r="C1973" s="276" t="s">
        <v>1264</v>
      </c>
      <c r="D1973" s="275" t="s">
        <v>1246</v>
      </c>
      <c r="E1973" s="275" t="s">
        <v>1265</v>
      </c>
      <c r="F1973" s="275" t="s">
        <v>1252</v>
      </c>
      <c r="G1973" s="277" t="s">
        <v>1253</v>
      </c>
      <c r="H1973" s="276">
        <v>1</v>
      </c>
      <c r="I1973" s="276" t="s">
        <v>1266</v>
      </c>
      <c r="J1973" s="777" t="s">
        <v>1266</v>
      </c>
      <c r="K1973" s="778"/>
    </row>
    <row r="1974" spans="1:11" ht="21.95" customHeight="1" x14ac:dyDescent="0.2">
      <c r="A1974" s="282" t="s">
        <v>1276</v>
      </c>
      <c r="B1974" s="282"/>
      <c r="C1974" s="283" t="s">
        <v>2523</v>
      </c>
      <c r="D1974" s="282" t="s">
        <v>1250</v>
      </c>
      <c r="E1974" s="282" t="s">
        <v>2524</v>
      </c>
      <c r="F1974" s="282" t="s">
        <v>2525</v>
      </c>
      <c r="G1974" s="284" t="s">
        <v>1253</v>
      </c>
      <c r="H1974" s="283" t="s">
        <v>1262</v>
      </c>
      <c r="I1974" s="283" t="s">
        <v>2526</v>
      </c>
      <c r="J1974" s="779">
        <v>8.98</v>
      </c>
      <c r="K1974" s="780"/>
    </row>
    <row r="1975" spans="1:11" ht="21.95" customHeight="1" x14ac:dyDescent="0.2">
      <c r="A1975" s="282" t="s">
        <v>1276</v>
      </c>
      <c r="B1975" s="282"/>
      <c r="C1975" s="283" t="s">
        <v>2527</v>
      </c>
      <c r="D1975" s="282" t="s">
        <v>1250</v>
      </c>
      <c r="E1975" s="282" t="s">
        <v>2528</v>
      </c>
      <c r="F1975" s="282" t="s">
        <v>2529</v>
      </c>
      <c r="G1975" s="284" t="s">
        <v>1253</v>
      </c>
      <c r="H1975" s="283" t="s">
        <v>1262</v>
      </c>
      <c r="I1975" s="283" t="s">
        <v>2530</v>
      </c>
      <c r="J1975" s="779">
        <v>2.15</v>
      </c>
      <c r="K1975" s="780"/>
    </row>
    <row r="1976" spans="1:11" ht="21.95" customHeight="1" x14ac:dyDescent="0.2">
      <c r="A1976" s="282" t="s">
        <v>1276</v>
      </c>
      <c r="B1976" s="282"/>
      <c r="C1976" s="283" t="s">
        <v>2531</v>
      </c>
      <c r="D1976" s="282" t="s">
        <v>1250</v>
      </c>
      <c r="E1976" s="282" t="s">
        <v>2532</v>
      </c>
      <c r="F1976" s="282" t="s">
        <v>55</v>
      </c>
      <c r="G1976" s="284" t="s">
        <v>1253</v>
      </c>
      <c r="H1976" s="283" t="s">
        <v>1262</v>
      </c>
      <c r="I1976" s="283" t="s">
        <v>1487</v>
      </c>
      <c r="J1976" s="779">
        <v>0.6</v>
      </c>
      <c r="K1976" s="780"/>
    </row>
    <row r="1977" spans="1:11" ht="21.95" customHeight="1" x14ac:dyDescent="0.2">
      <c r="A1977" s="282" t="s">
        <v>1276</v>
      </c>
      <c r="B1977" s="282"/>
      <c r="C1977" s="283" t="s">
        <v>2533</v>
      </c>
      <c r="D1977" s="282" t="s">
        <v>1250</v>
      </c>
      <c r="E1977" s="282" t="s">
        <v>2534</v>
      </c>
      <c r="F1977" s="282" t="s">
        <v>2529</v>
      </c>
      <c r="G1977" s="284" t="s">
        <v>1253</v>
      </c>
      <c r="H1977" s="283" t="s">
        <v>1262</v>
      </c>
      <c r="I1977" s="283" t="s">
        <v>1679</v>
      </c>
      <c r="J1977" s="779">
        <v>0.37</v>
      </c>
      <c r="K1977" s="780"/>
    </row>
    <row r="1978" spans="1:11" ht="21.95" customHeight="1" thickBot="1" x14ac:dyDescent="0.25">
      <c r="A1978" s="282" t="s">
        <v>1276</v>
      </c>
      <c r="B1978" s="282"/>
      <c r="C1978" s="283" t="s">
        <v>2535</v>
      </c>
      <c r="D1978" s="282" t="s">
        <v>1250</v>
      </c>
      <c r="E1978" s="282" t="s">
        <v>2536</v>
      </c>
      <c r="F1978" s="282" t="s">
        <v>2537</v>
      </c>
      <c r="G1978" s="284" t="s">
        <v>1253</v>
      </c>
      <c r="H1978" s="283" t="s">
        <v>1262</v>
      </c>
      <c r="I1978" s="283" t="s">
        <v>1443</v>
      </c>
      <c r="J1978" s="770">
        <v>0.02</v>
      </c>
      <c r="K1978" s="771"/>
    </row>
    <row r="1979" spans="1:11" ht="0.95" customHeight="1" thickTop="1" x14ac:dyDescent="0.2">
      <c r="A1979" s="281"/>
      <c r="B1979" s="281"/>
      <c r="C1979" s="281"/>
      <c r="D1979" s="281"/>
      <c r="E1979" s="281"/>
      <c r="F1979" s="281"/>
      <c r="G1979" s="281"/>
      <c r="H1979" s="281"/>
      <c r="I1979" s="281"/>
      <c r="J1979" s="421"/>
      <c r="K1979" s="421"/>
    </row>
  </sheetData>
  <autoFilter ref="H1:I1980">
    <filterColumn colId="0" showButton="0"/>
  </autoFilter>
  <mergeCells count="1707">
    <mergeCell ref="A1:K1"/>
    <mergeCell ref="A2:K2"/>
    <mergeCell ref="J3:K3"/>
    <mergeCell ref="J4:K4"/>
    <mergeCell ref="J5:K5"/>
    <mergeCell ref="J6:K6"/>
    <mergeCell ref="J37:K37"/>
    <mergeCell ref="J38:K38"/>
    <mergeCell ref="J39:K39"/>
    <mergeCell ref="J40:K40"/>
    <mergeCell ref="J41:K41"/>
    <mergeCell ref="J43:K43"/>
    <mergeCell ref="J15:K15"/>
    <mergeCell ref="J16:K16"/>
    <mergeCell ref="J17:K17"/>
    <mergeCell ref="J34:K34"/>
    <mergeCell ref="J35:K35"/>
    <mergeCell ref="J36:K36"/>
    <mergeCell ref="J27:K27"/>
    <mergeCell ref="J28:K28"/>
    <mergeCell ref="J29:K29"/>
    <mergeCell ref="J30:K30"/>
    <mergeCell ref="J7:K7"/>
    <mergeCell ref="J8:K8"/>
    <mergeCell ref="J9:K9"/>
    <mergeCell ref="J11:K11"/>
    <mergeCell ref="J12:K12"/>
    <mergeCell ref="J13:K13"/>
    <mergeCell ref="J58:K58"/>
    <mergeCell ref="J59:K59"/>
    <mergeCell ref="J60:K60"/>
    <mergeCell ref="J61:K61"/>
    <mergeCell ref="J62:K62"/>
    <mergeCell ref="J63:K63"/>
    <mergeCell ref="J51:K51"/>
    <mergeCell ref="J52:K52"/>
    <mergeCell ref="J53:K53"/>
    <mergeCell ref="J54:K54"/>
    <mergeCell ref="J55:K55"/>
    <mergeCell ref="J56:K56"/>
    <mergeCell ref="J44:K44"/>
    <mergeCell ref="J45:K45"/>
    <mergeCell ref="J46:K46"/>
    <mergeCell ref="J47:K47"/>
    <mergeCell ref="J48:K48"/>
    <mergeCell ref="J50:K50"/>
    <mergeCell ref="J78:K78"/>
    <mergeCell ref="J79:K79"/>
    <mergeCell ref="J81:K81"/>
    <mergeCell ref="J82:K82"/>
    <mergeCell ref="J83:K83"/>
    <mergeCell ref="J84:K84"/>
    <mergeCell ref="J71:K71"/>
    <mergeCell ref="J73:K73"/>
    <mergeCell ref="J74:K74"/>
    <mergeCell ref="J75:K75"/>
    <mergeCell ref="J76:K76"/>
    <mergeCell ref="J77:K77"/>
    <mergeCell ref="J65:K65"/>
    <mergeCell ref="J66:K66"/>
    <mergeCell ref="J67:K67"/>
    <mergeCell ref="J68:K68"/>
    <mergeCell ref="J69:K69"/>
    <mergeCell ref="J70:K70"/>
    <mergeCell ref="J99:K99"/>
    <mergeCell ref="J100:K100"/>
    <mergeCell ref="J101:K101"/>
    <mergeCell ref="J102:K102"/>
    <mergeCell ref="J104:K104"/>
    <mergeCell ref="J105:K105"/>
    <mergeCell ref="J92:K92"/>
    <mergeCell ref="J93:K93"/>
    <mergeCell ref="J94:K94"/>
    <mergeCell ref="J95:K95"/>
    <mergeCell ref="J97:K97"/>
    <mergeCell ref="J98:K98"/>
    <mergeCell ref="J85:K85"/>
    <mergeCell ref="J86:K86"/>
    <mergeCell ref="J88:K88"/>
    <mergeCell ref="J89:K89"/>
    <mergeCell ref="J90:K90"/>
    <mergeCell ref="J91:K91"/>
    <mergeCell ref="J120:K120"/>
    <mergeCell ref="J121:K121"/>
    <mergeCell ref="J122:K122"/>
    <mergeCell ref="J123:K123"/>
    <mergeCell ref="J125:K125"/>
    <mergeCell ref="J126:K126"/>
    <mergeCell ref="J113:K113"/>
    <mergeCell ref="J114:K114"/>
    <mergeCell ref="J115:K115"/>
    <mergeCell ref="J116:K116"/>
    <mergeCell ref="J118:K118"/>
    <mergeCell ref="J119:K119"/>
    <mergeCell ref="J106:K106"/>
    <mergeCell ref="J107:K107"/>
    <mergeCell ref="J108:K108"/>
    <mergeCell ref="J109:K109"/>
    <mergeCell ref="J111:K111"/>
    <mergeCell ref="J112:K112"/>
    <mergeCell ref="J141:K141"/>
    <mergeCell ref="J142:K142"/>
    <mergeCell ref="J143:K143"/>
    <mergeCell ref="J144:K144"/>
    <mergeCell ref="J145:K145"/>
    <mergeCell ref="J147:K147"/>
    <mergeCell ref="J134:K134"/>
    <mergeCell ref="J135:K135"/>
    <mergeCell ref="J136:K136"/>
    <mergeCell ref="J137:K137"/>
    <mergeCell ref="J139:K139"/>
    <mergeCell ref="J140:K140"/>
    <mergeCell ref="J127:K127"/>
    <mergeCell ref="J128:K128"/>
    <mergeCell ref="J129:K129"/>
    <mergeCell ref="J130:K130"/>
    <mergeCell ref="J131:K131"/>
    <mergeCell ref="J133:K133"/>
    <mergeCell ref="J161:K161"/>
    <mergeCell ref="J162:K162"/>
    <mergeCell ref="J163:K163"/>
    <mergeCell ref="J164:K164"/>
    <mergeCell ref="J165:K165"/>
    <mergeCell ref="J166:K166"/>
    <mergeCell ref="J154:K154"/>
    <mergeCell ref="J155:K155"/>
    <mergeCell ref="J157:K157"/>
    <mergeCell ref="J158:K158"/>
    <mergeCell ref="J159:K159"/>
    <mergeCell ref="J160:K160"/>
    <mergeCell ref="J148:K148"/>
    <mergeCell ref="J149:K149"/>
    <mergeCell ref="J150:K150"/>
    <mergeCell ref="J151:K151"/>
    <mergeCell ref="J152:K152"/>
    <mergeCell ref="J153:K153"/>
    <mergeCell ref="J179:K179"/>
    <mergeCell ref="J180:K180"/>
    <mergeCell ref="J181:K181"/>
    <mergeCell ref="J182:K182"/>
    <mergeCell ref="J184:K184"/>
    <mergeCell ref="J185:K185"/>
    <mergeCell ref="J173:K173"/>
    <mergeCell ref="J174:K174"/>
    <mergeCell ref="J175:K175"/>
    <mergeCell ref="J176:K176"/>
    <mergeCell ref="J177:K177"/>
    <mergeCell ref="J178:K178"/>
    <mergeCell ref="J167:K167"/>
    <mergeCell ref="J168:K168"/>
    <mergeCell ref="J169:K169"/>
    <mergeCell ref="J170:K170"/>
    <mergeCell ref="J171:K171"/>
    <mergeCell ref="J172:K172"/>
    <mergeCell ref="J201:K201"/>
    <mergeCell ref="J203:K203"/>
    <mergeCell ref="J204:K204"/>
    <mergeCell ref="J205:K205"/>
    <mergeCell ref="J206:K206"/>
    <mergeCell ref="J207:K207"/>
    <mergeCell ref="J193:K193"/>
    <mergeCell ref="J195:K195"/>
    <mergeCell ref="J196:K196"/>
    <mergeCell ref="J197:K197"/>
    <mergeCell ref="J199:K199"/>
    <mergeCell ref="J200:K200"/>
    <mergeCell ref="J186:K186"/>
    <mergeCell ref="J188:K188"/>
    <mergeCell ref="J189:K189"/>
    <mergeCell ref="J190:K190"/>
    <mergeCell ref="J191:K191"/>
    <mergeCell ref="J192:K192"/>
    <mergeCell ref="J223:K223"/>
    <mergeCell ref="J224:K224"/>
    <mergeCell ref="J225:K225"/>
    <mergeCell ref="J226:K226"/>
    <mergeCell ref="J227:K227"/>
    <mergeCell ref="J228:K228"/>
    <mergeCell ref="J216:K216"/>
    <mergeCell ref="J217:K217"/>
    <mergeCell ref="J219:K219"/>
    <mergeCell ref="J220:K220"/>
    <mergeCell ref="J221:K221"/>
    <mergeCell ref="J222:K222"/>
    <mergeCell ref="J209:K209"/>
    <mergeCell ref="J210:K210"/>
    <mergeCell ref="J211:K211"/>
    <mergeCell ref="J212:K212"/>
    <mergeCell ref="J213:K213"/>
    <mergeCell ref="J215:K215"/>
    <mergeCell ref="J242:K242"/>
    <mergeCell ref="J243:K243"/>
    <mergeCell ref="J244:K244"/>
    <mergeCell ref="J245:K245"/>
    <mergeCell ref="J247:K247"/>
    <mergeCell ref="J248:K248"/>
    <mergeCell ref="J235:K235"/>
    <mergeCell ref="J236:K236"/>
    <mergeCell ref="J237:K237"/>
    <mergeCell ref="J239:K239"/>
    <mergeCell ref="J240:K240"/>
    <mergeCell ref="J241:K241"/>
    <mergeCell ref="J229:K229"/>
    <mergeCell ref="J230:K230"/>
    <mergeCell ref="J231:K231"/>
    <mergeCell ref="J232:K232"/>
    <mergeCell ref="J233:K233"/>
    <mergeCell ref="J234:K234"/>
    <mergeCell ref="J265:K265"/>
    <mergeCell ref="J266:K266"/>
    <mergeCell ref="J267:K267"/>
    <mergeCell ref="J268:K268"/>
    <mergeCell ref="J269:K269"/>
    <mergeCell ref="J270:K270"/>
    <mergeCell ref="J257:K257"/>
    <mergeCell ref="J258:K258"/>
    <mergeCell ref="J259:K259"/>
    <mergeCell ref="J261:K261"/>
    <mergeCell ref="J262:K262"/>
    <mergeCell ref="J263:K263"/>
    <mergeCell ref="J249:K249"/>
    <mergeCell ref="J251:K251"/>
    <mergeCell ref="J252:K252"/>
    <mergeCell ref="J253:K253"/>
    <mergeCell ref="J255:K255"/>
    <mergeCell ref="J256:K256"/>
    <mergeCell ref="J285:K285"/>
    <mergeCell ref="J286:K286"/>
    <mergeCell ref="J287:K287"/>
    <mergeCell ref="J288:K288"/>
    <mergeCell ref="J290:K290"/>
    <mergeCell ref="J291:K291"/>
    <mergeCell ref="J278:K278"/>
    <mergeCell ref="J279:K279"/>
    <mergeCell ref="J280:K280"/>
    <mergeCell ref="J281:K281"/>
    <mergeCell ref="J283:K283"/>
    <mergeCell ref="J284:K284"/>
    <mergeCell ref="J272:K272"/>
    <mergeCell ref="J273:K273"/>
    <mergeCell ref="J274:K274"/>
    <mergeCell ref="J275:K275"/>
    <mergeCell ref="J276:K276"/>
    <mergeCell ref="J277:K277"/>
    <mergeCell ref="J306:K306"/>
    <mergeCell ref="J308:K308"/>
    <mergeCell ref="J309:K309"/>
    <mergeCell ref="J310:K310"/>
    <mergeCell ref="J311:K311"/>
    <mergeCell ref="J312:K312"/>
    <mergeCell ref="J299:K299"/>
    <mergeCell ref="J300:K300"/>
    <mergeCell ref="J301:K301"/>
    <mergeCell ref="J303:K303"/>
    <mergeCell ref="J304:K304"/>
    <mergeCell ref="J305:K305"/>
    <mergeCell ref="J292:K292"/>
    <mergeCell ref="J293:K293"/>
    <mergeCell ref="J294:K294"/>
    <mergeCell ref="J295:K295"/>
    <mergeCell ref="J296:K296"/>
    <mergeCell ref="J297:K297"/>
    <mergeCell ref="J328:K328"/>
    <mergeCell ref="J329:K329"/>
    <mergeCell ref="J331:K331"/>
    <mergeCell ref="J332:K332"/>
    <mergeCell ref="J333:K333"/>
    <mergeCell ref="J334:K334"/>
    <mergeCell ref="J322:K322"/>
    <mergeCell ref="J323:K323"/>
    <mergeCell ref="J324:K324"/>
    <mergeCell ref="J325:K325"/>
    <mergeCell ref="J326:K326"/>
    <mergeCell ref="J327:K327"/>
    <mergeCell ref="J314:K314"/>
    <mergeCell ref="J315:K315"/>
    <mergeCell ref="J316:K316"/>
    <mergeCell ref="J318:K318"/>
    <mergeCell ref="J319:K319"/>
    <mergeCell ref="J320:K320"/>
    <mergeCell ref="J348:K348"/>
    <mergeCell ref="J349:K349"/>
    <mergeCell ref="J350:K350"/>
    <mergeCell ref="J351:K351"/>
    <mergeCell ref="J352:K352"/>
    <mergeCell ref="J353:K353"/>
    <mergeCell ref="J342:K342"/>
    <mergeCell ref="J343:K343"/>
    <mergeCell ref="J344:K344"/>
    <mergeCell ref="J345:K345"/>
    <mergeCell ref="J346:K346"/>
    <mergeCell ref="J347:K347"/>
    <mergeCell ref="J335:K335"/>
    <mergeCell ref="J336:K336"/>
    <mergeCell ref="J338:K338"/>
    <mergeCell ref="J339:K339"/>
    <mergeCell ref="J340:K340"/>
    <mergeCell ref="J341:K341"/>
    <mergeCell ref="J368:K368"/>
    <mergeCell ref="J369:K369"/>
    <mergeCell ref="J370:K370"/>
    <mergeCell ref="J372:K372"/>
    <mergeCell ref="J373:K373"/>
    <mergeCell ref="J374:K374"/>
    <mergeCell ref="J361:K361"/>
    <mergeCell ref="J362:K362"/>
    <mergeCell ref="J363:K363"/>
    <mergeCell ref="J365:K365"/>
    <mergeCell ref="J366:K366"/>
    <mergeCell ref="J367:K367"/>
    <mergeCell ref="J354:K354"/>
    <mergeCell ref="J355:K355"/>
    <mergeCell ref="J356:K356"/>
    <mergeCell ref="J357:K357"/>
    <mergeCell ref="J359:K359"/>
    <mergeCell ref="J360:K360"/>
    <mergeCell ref="J389:K389"/>
    <mergeCell ref="J390:K390"/>
    <mergeCell ref="J391:K391"/>
    <mergeCell ref="J392:K392"/>
    <mergeCell ref="J393:K393"/>
    <mergeCell ref="J395:K395"/>
    <mergeCell ref="J382:K382"/>
    <mergeCell ref="J383:K383"/>
    <mergeCell ref="J384:K384"/>
    <mergeCell ref="J385:K385"/>
    <mergeCell ref="J386:K386"/>
    <mergeCell ref="J388:K388"/>
    <mergeCell ref="J375:K375"/>
    <mergeCell ref="J376:K376"/>
    <mergeCell ref="J377:K377"/>
    <mergeCell ref="J378:K378"/>
    <mergeCell ref="J379:K379"/>
    <mergeCell ref="J381:K381"/>
    <mergeCell ref="J410:K410"/>
    <mergeCell ref="J411:K411"/>
    <mergeCell ref="J412:K412"/>
    <mergeCell ref="J413:K413"/>
    <mergeCell ref="J414:K414"/>
    <mergeCell ref="J415:K415"/>
    <mergeCell ref="J403:K403"/>
    <mergeCell ref="J404:K404"/>
    <mergeCell ref="J405:K405"/>
    <mergeCell ref="J406:K406"/>
    <mergeCell ref="J407:K407"/>
    <mergeCell ref="J408:K408"/>
    <mergeCell ref="J396:K396"/>
    <mergeCell ref="J397:K397"/>
    <mergeCell ref="J398:K398"/>
    <mergeCell ref="J399:K399"/>
    <mergeCell ref="J400:K400"/>
    <mergeCell ref="J401:K401"/>
    <mergeCell ref="J431:K431"/>
    <mergeCell ref="J432:K432"/>
    <mergeCell ref="J433:K433"/>
    <mergeCell ref="J434:K434"/>
    <mergeCell ref="J435:K435"/>
    <mergeCell ref="J436:K436"/>
    <mergeCell ref="J424:K424"/>
    <mergeCell ref="J425:K425"/>
    <mergeCell ref="J426:K426"/>
    <mergeCell ref="J427:K427"/>
    <mergeCell ref="J428:K428"/>
    <mergeCell ref="J429:K429"/>
    <mergeCell ref="J417:K417"/>
    <mergeCell ref="J418:K418"/>
    <mergeCell ref="J419:K419"/>
    <mergeCell ref="J420:K420"/>
    <mergeCell ref="J421:K421"/>
    <mergeCell ref="J422:K422"/>
    <mergeCell ref="J450:K450"/>
    <mergeCell ref="J451:K451"/>
    <mergeCell ref="J452:K452"/>
    <mergeCell ref="J453:K453"/>
    <mergeCell ref="J454:K454"/>
    <mergeCell ref="J456:K456"/>
    <mergeCell ref="J444:K444"/>
    <mergeCell ref="J445:K445"/>
    <mergeCell ref="J446:K446"/>
    <mergeCell ref="J447:K447"/>
    <mergeCell ref="J448:K448"/>
    <mergeCell ref="J449:K449"/>
    <mergeCell ref="J437:K437"/>
    <mergeCell ref="J438:K438"/>
    <mergeCell ref="J439:K439"/>
    <mergeCell ref="J440:K440"/>
    <mergeCell ref="J442:K442"/>
    <mergeCell ref="J443:K443"/>
    <mergeCell ref="J471:K471"/>
    <mergeCell ref="J472:K472"/>
    <mergeCell ref="J473:K473"/>
    <mergeCell ref="J474:K474"/>
    <mergeCell ref="J476:K476"/>
    <mergeCell ref="J477:K477"/>
    <mergeCell ref="J464:K464"/>
    <mergeCell ref="J465:K465"/>
    <mergeCell ref="J466:K466"/>
    <mergeCell ref="J467:K467"/>
    <mergeCell ref="J469:K469"/>
    <mergeCell ref="J470:K470"/>
    <mergeCell ref="J457:K457"/>
    <mergeCell ref="J458:K458"/>
    <mergeCell ref="J459:K459"/>
    <mergeCell ref="J460:K460"/>
    <mergeCell ref="J462:K462"/>
    <mergeCell ref="J463:K463"/>
    <mergeCell ref="J492:K492"/>
    <mergeCell ref="J493:K493"/>
    <mergeCell ref="J494:K494"/>
    <mergeCell ref="J495:K495"/>
    <mergeCell ref="J496:K496"/>
    <mergeCell ref="J498:K498"/>
    <mergeCell ref="J485:K485"/>
    <mergeCell ref="J486:K486"/>
    <mergeCell ref="J487:K487"/>
    <mergeCell ref="J488:K488"/>
    <mergeCell ref="J489:K489"/>
    <mergeCell ref="J491:K491"/>
    <mergeCell ref="J478:K478"/>
    <mergeCell ref="J479:K479"/>
    <mergeCell ref="J480:K480"/>
    <mergeCell ref="J481:K481"/>
    <mergeCell ref="J482:K482"/>
    <mergeCell ref="J484:K484"/>
    <mergeCell ref="J513:K513"/>
    <mergeCell ref="J514:K514"/>
    <mergeCell ref="J515:K515"/>
    <mergeCell ref="J517:K517"/>
    <mergeCell ref="J518:K518"/>
    <mergeCell ref="J519:K519"/>
    <mergeCell ref="J506:K506"/>
    <mergeCell ref="J507:K507"/>
    <mergeCell ref="J508:K508"/>
    <mergeCell ref="J510:K510"/>
    <mergeCell ref="J511:K511"/>
    <mergeCell ref="J512:K512"/>
    <mergeCell ref="J499:K499"/>
    <mergeCell ref="J500:K500"/>
    <mergeCell ref="J501:K501"/>
    <mergeCell ref="J502:K502"/>
    <mergeCell ref="J504:K504"/>
    <mergeCell ref="J505:K505"/>
    <mergeCell ref="J535:K535"/>
    <mergeCell ref="J537:K537"/>
    <mergeCell ref="J538:K538"/>
    <mergeCell ref="J539:K539"/>
    <mergeCell ref="J540:K540"/>
    <mergeCell ref="J541:K541"/>
    <mergeCell ref="J527:K527"/>
    <mergeCell ref="J529:K529"/>
    <mergeCell ref="J530:K530"/>
    <mergeCell ref="J531:K531"/>
    <mergeCell ref="J533:K533"/>
    <mergeCell ref="J534:K534"/>
    <mergeCell ref="J520:K520"/>
    <mergeCell ref="J521:K521"/>
    <mergeCell ref="J523:K523"/>
    <mergeCell ref="J524:K524"/>
    <mergeCell ref="J525:K525"/>
    <mergeCell ref="J526:K526"/>
    <mergeCell ref="J557:K557"/>
    <mergeCell ref="J558:K558"/>
    <mergeCell ref="J559:K559"/>
    <mergeCell ref="J560:K560"/>
    <mergeCell ref="J561:K561"/>
    <mergeCell ref="J562:K562"/>
    <mergeCell ref="J550:K550"/>
    <mergeCell ref="J551:K551"/>
    <mergeCell ref="J553:K553"/>
    <mergeCell ref="J554:K554"/>
    <mergeCell ref="J555:K555"/>
    <mergeCell ref="J556:K556"/>
    <mergeCell ref="J543:K543"/>
    <mergeCell ref="J544:K544"/>
    <mergeCell ref="J545:K545"/>
    <mergeCell ref="J546:K546"/>
    <mergeCell ref="J547:K547"/>
    <mergeCell ref="J549:K549"/>
    <mergeCell ref="J577:K577"/>
    <mergeCell ref="J578:K578"/>
    <mergeCell ref="J579:K579"/>
    <mergeCell ref="J581:K581"/>
    <mergeCell ref="J582:K582"/>
    <mergeCell ref="J583:K583"/>
    <mergeCell ref="J569:K569"/>
    <mergeCell ref="J570:K570"/>
    <mergeCell ref="J571:K571"/>
    <mergeCell ref="J573:K573"/>
    <mergeCell ref="J574:K574"/>
    <mergeCell ref="J575:K575"/>
    <mergeCell ref="J563:K563"/>
    <mergeCell ref="J564:K564"/>
    <mergeCell ref="J565:K565"/>
    <mergeCell ref="J566:K566"/>
    <mergeCell ref="J567:K567"/>
    <mergeCell ref="J568:K568"/>
    <mergeCell ref="J599:K599"/>
    <mergeCell ref="J600:K600"/>
    <mergeCell ref="J601:K601"/>
    <mergeCell ref="J602:K602"/>
    <mergeCell ref="J603:K603"/>
    <mergeCell ref="J604:K604"/>
    <mergeCell ref="J592:K592"/>
    <mergeCell ref="J593:K593"/>
    <mergeCell ref="J594:K594"/>
    <mergeCell ref="J595:K595"/>
    <mergeCell ref="J596:K596"/>
    <mergeCell ref="J598:K598"/>
    <mergeCell ref="J584:K584"/>
    <mergeCell ref="J586:K586"/>
    <mergeCell ref="J587:K587"/>
    <mergeCell ref="J588:K588"/>
    <mergeCell ref="J590:K590"/>
    <mergeCell ref="J591:K591"/>
    <mergeCell ref="J621:K621"/>
    <mergeCell ref="J622:K622"/>
    <mergeCell ref="J623:K623"/>
    <mergeCell ref="J625:K625"/>
    <mergeCell ref="J626:K626"/>
    <mergeCell ref="J627:K627"/>
    <mergeCell ref="J613:K613"/>
    <mergeCell ref="J615:K615"/>
    <mergeCell ref="J616:K616"/>
    <mergeCell ref="J617:K617"/>
    <mergeCell ref="J618:K618"/>
    <mergeCell ref="J620:K620"/>
    <mergeCell ref="J606:K606"/>
    <mergeCell ref="J607:K607"/>
    <mergeCell ref="J608:K608"/>
    <mergeCell ref="J610:K610"/>
    <mergeCell ref="J611:K611"/>
    <mergeCell ref="J612:K612"/>
    <mergeCell ref="J643:K643"/>
    <mergeCell ref="J644:K644"/>
    <mergeCell ref="J645:K645"/>
    <mergeCell ref="J646:K646"/>
    <mergeCell ref="J647:K647"/>
    <mergeCell ref="J648:K648"/>
    <mergeCell ref="J636:K636"/>
    <mergeCell ref="J637:K637"/>
    <mergeCell ref="J638:K638"/>
    <mergeCell ref="J639:K639"/>
    <mergeCell ref="J640:K640"/>
    <mergeCell ref="J641:K641"/>
    <mergeCell ref="J628:K628"/>
    <mergeCell ref="J630:K630"/>
    <mergeCell ref="J631:K631"/>
    <mergeCell ref="J632:K632"/>
    <mergeCell ref="J633:K633"/>
    <mergeCell ref="J635:K635"/>
    <mergeCell ref="J664:K664"/>
    <mergeCell ref="J665:K665"/>
    <mergeCell ref="J666:K666"/>
    <mergeCell ref="J668:K668"/>
    <mergeCell ref="J669:K669"/>
    <mergeCell ref="J670:K670"/>
    <mergeCell ref="J656:K656"/>
    <mergeCell ref="J658:K658"/>
    <mergeCell ref="J659:K659"/>
    <mergeCell ref="J660:K660"/>
    <mergeCell ref="J661:K661"/>
    <mergeCell ref="J663:K663"/>
    <mergeCell ref="J649:K649"/>
    <mergeCell ref="J651:K651"/>
    <mergeCell ref="J652:K652"/>
    <mergeCell ref="J653:K653"/>
    <mergeCell ref="J654:K654"/>
    <mergeCell ref="J655:K655"/>
    <mergeCell ref="J684:K684"/>
    <mergeCell ref="J685:K685"/>
    <mergeCell ref="J686:K686"/>
    <mergeCell ref="J687:K687"/>
    <mergeCell ref="J688:K688"/>
    <mergeCell ref="J689:K689"/>
    <mergeCell ref="J677:K677"/>
    <mergeCell ref="J678:K678"/>
    <mergeCell ref="J680:K680"/>
    <mergeCell ref="J681:K681"/>
    <mergeCell ref="J682:K682"/>
    <mergeCell ref="J683:K683"/>
    <mergeCell ref="J671:K671"/>
    <mergeCell ref="J672:K672"/>
    <mergeCell ref="J673:K673"/>
    <mergeCell ref="J674:K674"/>
    <mergeCell ref="J675:K675"/>
    <mergeCell ref="J676:K676"/>
    <mergeCell ref="J705:K705"/>
    <mergeCell ref="J706:K706"/>
    <mergeCell ref="J707:K707"/>
    <mergeCell ref="J708:K708"/>
    <mergeCell ref="J710:K710"/>
    <mergeCell ref="J711:K711"/>
    <mergeCell ref="J697:K697"/>
    <mergeCell ref="J698:K698"/>
    <mergeCell ref="J700:K700"/>
    <mergeCell ref="J701:K701"/>
    <mergeCell ref="J702:K702"/>
    <mergeCell ref="J703:K703"/>
    <mergeCell ref="J690:K690"/>
    <mergeCell ref="J691:K691"/>
    <mergeCell ref="J692:K692"/>
    <mergeCell ref="J694:K694"/>
    <mergeCell ref="J695:K695"/>
    <mergeCell ref="J696:K696"/>
    <mergeCell ref="J726:K726"/>
    <mergeCell ref="J727:K727"/>
    <mergeCell ref="J728:K728"/>
    <mergeCell ref="J729:K729"/>
    <mergeCell ref="J730:K730"/>
    <mergeCell ref="J731:K731"/>
    <mergeCell ref="J719:K719"/>
    <mergeCell ref="J720:K720"/>
    <mergeCell ref="J721:K721"/>
    <mergeCell ref="J722:K722"/>
    <mergeCell ref="J723:K723"/>
    <mergeCell ref="J724:K724"/>
    <mergeCell ref="J712:K712"/>
    <mergeCell ref="J713:K713"/>
    <mergeCell ref="J714:K714"/>
    <mergeCell ref="J715:K715"/>
    <mergeCell ref="J716:K716"/>
    <mergeCell ref="J718:K718"/>
    <mergeCell ref="J747:K747"/>
    <mergeCell ref="J748:K748"/>
    <mergeCell ref="J749:K749"/>
    <mergeCell ref="J750:K750"/>
    <mergeCell ref="J751:K751"/>
    <mergeCell ref="J752:K752"/>
    <mergeCell ref="J740:K740"/>
    <mergeCell ref="J741:K741"/>
    <mergeCell ref="J743:K743"/>
    <mergeCell ref="J744:K744"/>
    <mergeCell ref="J745:K745"/>
    <mergeCell ref="J746:K746"/>
    <mergeCell ref="J733:K733"/>
    <mergeCell ref="J734:K734"/>
    <mergeCell ref="J735:K735"/>
    <mergeCell ref="J736:K736"/>
    <mergeCell ref="J738:K738"/>
    <mergeCell ref="J739:K739"/>
    <mergeCell ref="J768:K768"/>
    <mergeCell ref="J769:K769"/>
    <mergeCell ref="J770:K770"/>
    <mergeCell ref="J772:K772"/>
    <mergeCell ref="J773:K773"/>
    <mergeCell ref="J774:K774"/>
    <mergeCell ref="J760:K760"/>
    <mergeCell ref="J761:K761"/>
    <mergeCell ref="J763:K763"/>
    <mergeCell ref="J764:K764"/>
    <mergeCell ref="J765:K765"/>
    <mergeCell ref="J767:K767"/>
    <mergeCell ref="J753:K753"/>
    <mergeCell ref="J754:K754"/>
    <mergeCell ref="J755:K755"/>
    <mergeCell ref="J757:K757"/>
    <mergeCell ref="J758:K758"/>
    <mergeCell ref="J759:K759"/>
    <mergeCell ref="J790:K790"/>
    <mergeCell ref="J791:K791"/>
    <mergeCell ref="J792:K792"/>
    <mergeCell ref="J793:K793"/>
    <mergeCell ref="J794:K794"/>
    <mergeCell ref="J795:K795"/>
    <mergeCell ref="J783:K783"/>
    <mergeCell ref="J784:K784"/>
    <mergeCell ref="J785:K785"/>
    <mergeCell ref="J786:K786"/>
    <mergeCell ref="J787:K787"/>
    <mergeCell ref="J788:K788"/>
    <mergeCell ref="J775:K775"/>
    <mergeCell ref="J777:K777"/>
    <mergeCell ref="J778:K778"/>
    <mergeCell ref="J779:K779"/>
    <mergeCell ref="J780:K780"/>
    <mergeCell ref="J782:K782"/>
    <mergeCell ref="J810:K810"/>
    <mergeCell ref="J811:K811"/>
    <mergeCell ref="J813:K813"/>
    <mergeCell ref="J814:K814"/>
    <mergeCell ref="J815:K815"/>
    <mergeCell ref="J816:K816"/>
    <mergeCell ref="J803:K803"/>
    <mergeCell ref="J805:K805"/>
    <mergeCell ref="J806:K806"/>
    <mergeCell ref="J807:K807"/>
    <mergeCell ref="J808:K808"/>
    <mergeCell ref="J809:K809"/>
    <mergeCell ref="J796:K796"/>
    <mergeCell ref="J798:K798"/>
    <mergeCell ref="J799:K799"/>
    <mergeCell ref="J800:K800"/>
    <mergeCell ref="J801:K801"/>
    <mergeCell ref="J802:K802"/>
    <mergeCell ref="J832:K832"/>
    <mergeCell ref="J833:K833"/>
    <mergeCell ref="J834:K834"/>
    <mergeCell ref="J835:K835"/>
    <mergeCell ref="J836:K836"/>
    <mergeCell ref="J837:K837"/>
    <mergeCell ref="J825:K825"/>
    <mergeCell ref="J826:K826"/>
    <mergeCell ref="J828:K828"/>
    <mergeCell ref="J829:K829"/>
    <mergeCell ref="J830:K830"/>
    <mergeCell ref="J831:K831"/>
    <mergeCell ref="J818:K818"/>
    <mergeCell ref="J819:K819"/>
    <mergeCell ref="J820:K820"/>
    <mergeCell ref="J821:K821"/>
    <mergeCell ref="J823:K823"/>
    <mergeCell ref="J824:K824"/>
    <mergeCell ref="J851:K851"/>
    <mergeCell ref="J852:K852"/>
    <mergeCell ref="J854:K854"/>
    <mergeCell ref="J855:K855"/>
    <mergeCell ref="J856:K856"/>
    <mergeCell ref="J857:K857"/>
    <mergeCell ref="J845:K845"/>
    <mergeCell ref="J846:K846"/>
    <mergeCell ref="J847:K847"/>
    <mergeCell ref="J848:K848"/>
    <mergeCell ref="J849:K849"/>
    <mergeCell ref="J850:K850"/>
    <mergeCell ref="J838:K838"/>
    <mergeCell ref="J840:K840"/>
    <mergeCell ref="J841:K841"/>
    <mergeCell ref="J842:K842"/>
    <mergeCell ref="J843:K843"/>
    <mergeCell ref="J844:K844"/>
    <mergeCell ref="J873:K873"/>
    <mergeCell ref="J874:K874"/>
    <mergeCell ref="J875:K875"/>
    <mergeCell ref="J876:K876"/>
    <mergeCell ref="J877:K877"/>
    <mergeCell ref="J878:K878"/>
    <mergeCell ref="J866:K866"/>
    <mergeCell ref="J867:K867"/>
    <mergeCell ref="J868:K868"/>
    <mergeCell ref="J869:K869"/>
    <mergeCell ref="J870:K870"/>
    <mergeCell ref="J872:K872"/>
    <mergeCell ref="J858:K858"/>
    <mergeCell ref="J860:K860"/>
    <mergeCell ref="J861:K861"/>
    <mergeCell ref="J862:K862"/>
    <mergeCell ref="J864:K864"/>
    <mergeCell ref="J865:K865"/>
    <mergeCell ref="J895:K895"/>
    <mergeCell ref="J896:K896"/>
    <mergeCell ref="J897:K897"/>
    <mergeCell ref="J898:K898"/>
    <mergeCell ref="J900:K900"/>
    <mergeCell ref="J901:K901"/>
    <mergeCell ref="J887:K887"/>
    <mergeCell ref="J888:K888"/>
    <mergeCell ref="J890:K890"/>
    <mergeCell ref="J891:K891"/>
    <mergeCell ref="J892:K892"/>
    <mergeCell ref="J893:K893"/>
    <mergeCell ref="J880:K880"/>
    <mergeCell ref="J881:K881"/>
    <mergeCell ref="J882:K882"/>
    <mergeCell ref="J883:K883"/>
    <mergeCell ref="J885:K885"/>
    <mergeCell ref="J886:K886"/>
    <mergeCell ref="J916:K916"/>
    <mergeCell ref="J917:K917"/>
    <mergeCell ref="J918:K918"/>
    <mergeCell ref="J919:K919"/>
    <mergeCell ref="J920:K920"/>
    <mergeCell ref="J921:K921"/>
    <mergeCell ref="J909:K909"/>
    <mergeCell ref="J910:K910"/>
    <mergeCell ref="J911:K911"/>
    <mergeCell ref="J912:K912"/>
    <mergeCell ref="J913:K913"/>
    <mergeCell ref="J914:K914"/>
    <mergeCell ref="J902:K902"/>
    <mergeCell ref="J903:K903"/>
    <mergeCell ref="J904:K904"/>
    <mergeCell ref="J905:K905"/>
    <mergeCell ref="J906:K906"/>
    <mergeCell ref="J908:K908"/>
    <mergeCell ref="J936:K936"/>
    <mergeCell ref="J937:K937"/>
    <mergeCell ref="J939:K939"/>
    <mergeCell ref="J940:K940"/>
    <mergeCell ref="J941:K941"/>
    <mergeCell ref="J942:K942"/>
    <mergeCell ref="J929:K929"/>
    <mergeCell ref="J931:K931"/>
    <mergeCell ref="J932:K932"/>
    <mergeCell ref="J933:K933"/>
    <mergeCell ref="J934:K934"/>
    <mergeCell ref="J935:K935"/>
    <mergeCell ref="J923:K923"/>
    <mergeCell ref="J924:K924"/>
    <mergeCell ref="J925:K925"/>
    <mergeCell ref="J926:K926"/>
    <mergeCell ref="J927:K927"/>
    <mergeCell ref="J928:K928"/>
    <mergeCell ref="J958:K958"/>
    <mergeCell ref="J959:K959"/>
    <mergeCell ref="J961:K961"/>
    <mergeCell ref="J962:K962"/>
    <mergeCell ref="J963:K963"/>
    <mergeCell ref="J964:K964"/>
    <mergeCell ref="J951:K951"/>
    <mergeCell ref="J952:K952"/>
    <mergeCell ref="J953:K953"/>
    <mergeCell ref="J954:K954"/>
    <mergeCell ref="J956:K956"/>
    <mergeCell ref="J957:K957"/>
    <mergeCell ref="J943:K943"/>
    <mergeCell ref="J944:K944"/>
    <mergeCell ref="J946:K946"/>
    <mergeCell ref="J947:K947"/>
    <mergeCell ref="J948:K948"/>
    <mergeCell ref="J949:K949"/>
    <mergeCell ref="J978:K978"/>
    <mergeCell ref="J979:K979"/>
    <mergeCell ref="J980:K980"/>
    <mergeCell ref="J981:K981"/>
    <mergeCell ref="J982:K982"/>
    <mergeCell ref="J983:K983"/>
    <mergeCell ref="J971:K971"/>
    <mergeCell ref="J973:K973"/>
    <mergeCell ref="J974:K974"/>
    <mergeCell ref="J975:K975"/>
    <mergeCell ref="J976:K976"/>
    <mergeCell ref="J977:K977"/>
    <mergeCell ref="J965:K965"/>
    <mergeCell ref="J966:K966"/>
    <mergeCell ref="J967:K967"/>
    <mergeCell ref="J968:K968"/>
    <mergeCell ref="J969:K969"/>
    <mergeCell ref="J970:K970"/>
    <mergeCell ref="J998:K998"/>
    <mergeCell ref="J999:K999"/>
    <mergeCell ref="J1000:K1000"/>
    <mergeCell ref="J1001:K1001"/>
    <mergeCell ref="J1002:K1002"/>
    <mergeCell ref="J1003:K1003"/>
    <mergeCell ref="J991:K991"/>
    <mergeCell ref="J993:K993"/>
    <mergeCell ref="J994:K994"/>
    <mergeCell ref="J995:K995"/>
    <mergeCell ref="J996:K996"/>
    <mergeCell ref="J997:K997"/>
    <mergeCell ref="J984:K984"/>
    <mergeCell ref="J985:K985"/>
    <mergeCell ref="J987:K987"/>
    <mergeCell ref="J988:K988"/>
    <mergeCell ref="J989:K989"/>
    <mergeCell ref="J990:K990"/>
    <mergeCell ref="J1019:K1019"/>
    <mergeCell ref="J1020:K1020"/>
    <mergeCell ref="J1021:K1021"/>
    <mergeCell ref="J1022:K1022"/>
    <mergeCell ref="J1023:K1023"/>
    <mergeCell ref="J1024:K1024"/>
    <mergeCell ref="J1011:K1011"/>
    <mergeCell ref="J1013:K1013"/>
    <mergeCell ref="J1014:K1014"/>
    <mergeCell ref="J1015:K1015"/>
    <mergeCell ref="J1016:K1016"/>
    <mergeCell ref="J1018:K1018"/>
    <mergeCell ref="J1004:K1004"/>
    <mergeCell ref="J1005:K1005"/>
    <mergeCell ref="J1007:K1007"/>
    <mergeCell ref="J1008:K1008"/>
    <mergeCell ref="J1009:K1009"/>
    <mergeCell ref="J1010:K1010"/>
    <mergeCell ref="J1039:K1039"/>
    <mergeCell ref="J1040:K1040"/>
    <mergeCell ref="J1042:K1042"/>
    <mergeCell ref="J1043:K1043"/>
    <mergeCell ref="J1044:K1044"/>
    <mergeCell ref="J1045:K1045"/>
    <mergeCell ref="J1032:K1032"/>
    <mergeCell ref="J1034:K1034"/>
    <mergeCell ref="J1035:K1035"/>
    <mergeCell ref="J1036:K1036"/>
    <mergeCell ref="J1037:K1037"/>
    <mergeCell ref="J1038:K1038"/>
    <mergeCell ref="J1026:K1026"/>
    <mergeCell ref="J1027:K1027"/>
    <mergeCell ref="J1028:K1028"/>
    <mergeCell ref="J1029:K1029"/>
    <mergeCell ref="J1030:K1030"/>
    <mergeCell ref="J1031:K1031"/>
    <mergeCell ref="J1060:K1060"/>
    <mergeCell ref="J1061:K1061"/>
    <mergeCell ref="J1062:K1062"/>
    <mergeCell ref="J1063:K1063"/>
    <mergeCell ref="J1064:K1064"/>
    <mergeCell ref="J1066:K1066"/>
    <mergeCell ref="J1053:K1053"/>
    <mergeCell ref="J1054:K1054"/>
    <mergeCell ref="J1055:K1055"/>
    <mergeCell ref="J1056:K1056"/>
    <mergeCell ref="J1058:K1058"/>
    <mergeCell ref="J1059:K1059"/>
    <mergeCell ref="J1046:K1046"/>
    <mergeCell ref="J1047:K1047"/>
    <mergeCell ref="J1048:K1048"/>
    <mergeCell ref="J1050:K1050"/>
    <mergeCell ref="J1051:K1051"/>
    <mergeCell ref="J1052:K1052"/>
    <mergeCell ref="J1080:K1080"/>
    <mergeCell ref="J1082:K1082"/>
    <mergeCell ref="J1083:K1083"/>
    <mergeCell ref="J1084:K1084"/>
    <mergeCell ref="J1085:K1085"/>
    <mergeCell ref="J1086:K1086"/>
    <mergeCell ref="J1074:K1074"/>
    <mergeCell ref="J1075:K1075"/>
    <mergeCell ref="J1076:K1076"/>
    <mergeCell ref="J1077:K1077"/>
    <mergeCell ref="J1078:K1078"/>
    <mergeCell ref="J1079:K1079"/>
    <mergeCell ref="J1067:K1067"/>
    <mergeCell ref="J1068:K1068"/>
    <mergeCell ref="J1069:K1069"/>
    <mergeCell ref="J1070:K1070"/>
    <mergeCell ref="J1071:K1071"/>
    <mergeCell ref="J1072:K1072"/>
    <mergeCell ref="J1101:K1101"/>
    <mergeCell ref="J1102:K1102"/>
    <mergeCell ref="J1103:K1103"/>
    <mergeCell ref="J1104:K1104"/>
    <mergeCell ref="J1105:K1105"/>
    <mergeCell ref="J1107:K1107"/>
    <mergeCell ref="J1094:K1094"/>
    <mergeCell ref="J1095:K1095"/>
    <mergeCell ref="J1096:K1096"/>
    <mergeCell ref="J1098:K1098"/>
    <mergeCell ref="J1099:K1099"/>
    <mergeCell ref="J1100:K1100"/>
    <mergeCell ref="J1087:K1087"/>
    <mergeCell ref="J1088:K1088"/>
    <mergeCell ref="J1090:K1090"/>
    <mergeCell ref="J1091:K1091"/>
    <mergeCell ref="J1092:K1092"/>
    <mergeCell ref="J1093:K1093"/>
    <mergeCell ref="J1121:K1121"/>
    <mergeCell ref="J1123:K1123"/>
    <mergeCell ref="J1124:K1124"/>
    <mergeCell ref="J1125:K1125"/>
    <mergeCell ref="J1126:K1126"/>
    <mergeCell ref="J1127:K1127"/>
    <mergeCell ref="J1114:K1114"/>
    <mergeCell ref="J1116:K1116"/>
    <mergeCell ref="J1117:K1117"/>
    <mergeCell ref="J1118:K1118"/>
    <mergeCell ref="J1119:K1119"/>
    <mergeCell ref="J1120:K1120"/>
    <mergeCell ref="J1108:K1108"/>
    <mergeCell ref="J1109:K1109"/>
    <mergeCell ref="J1110:K1110"/>
    <mergeCell ref="J1111:K1111"/>
    <mergeCell ref="J1112:K1112"/>
    <mergeCell ref="J1113:K1113"/>
    <mergeCell ref="J1140:K1140"/>
    <mergeCell ref="J1141:K1141"/>
    <mergeCell ref="J1142:K1142"/>
    <mergeCell ref="J1143:K1143"/>
    <mergeCell ref="J1144:K1144"/>
    <mergeCell ref="J1145:K1145"/>
    <mergeCell ref="J1134:K1134"/>
    <mergeCell ref="J1135:K1135"/>
    <mergeCell ref="J1136:K1136"/>
    <mergeCell ref="J1137:K1137"/>
    <mergeCell ref="J1138:K1138"/>
    <mergeCell ref="J1139:K1139"/>
    <mergeCell ref="J1128:K1128"/>
    <mergeCell ref="J1129:K1129"/>
    <mergeCell ref="J1130:K1130"/>
    <mergeCell ref="J1131:K1131"/>
    <mergeCell ref="J1132:K1132"/>
    <mergeCell ref="J1133:K1133"/>
    <mergeCell ref="J1159:K1159"/>
    <mergeCell ref="J1160:K1160"/>
    <mergeCell ref="J1161:K1161"/>
    <mergeCell ref="J1152:K1152"/>
    <mergeCell ref="J1154:K1154"/>
    <mergeCell ref="J1155:K1155"/>
    <mergeCell ref="J1156:K1156"/>
    <mergeCell ref="J1157:K1157"/>
    <mergeCell ref="J1158:K1158"/>
    <mergeCell ref="J1146:K1146"/>
    <mergeCell ref="J1147:K1147"/>
    <mergeCell ref="J1148:K1148"/>
    <mergeCell ref="J1149:K1149"/>
    <mergeCell ref="J1150:K1150"/>
    <mergeCell ref="J1151:K1151"/>
    <mergeCell ref="J1172:K1172"/>
    <mergeCell ref="J1174:K1174"/>
    <mergeCell ref="J1175:K1175"/>
    <mergeCell ref="J1176:K1176"/>
    <mergeCell ref="J1177:K1177"/>
    <mergeCell ref="J1179:K1179"/>
    <mergeCell ref="J1165:K1165"/>
    <mergeCell ref="J1166:K1166"/>
    <mergeCell ref="J1167:K1167"/>
    <mergeCell ref="J1169:K1169"/>
    <mergeCell ref="J1170:K1170"/>
    <mergeCell ref="J1171:K1171"/>
    <mergeCell ref="J1164:K1164"/>
    <mergeCell ref="J1195:K1195"/>
    <mergeCell ref="J1196:K1196"/>
    <mergeCell ref="J1197:K1197"/>
    <mergeCell ref="J1198:K1198"/>
    <mergeCell ref="J1199:K1199"/>
    <mergeCell ref="J1200:K1200"/>
    <mergeCell ref="J1187:K1187"/>
    <mergeCell ref="J1189:K1189"/>
    <mergeCell ref="J1190:K1190"/>
    <mergeCell ref="J1191:K1191"/>
    <mergeCell ref="J1192:K1192"/>
    <mergeCell ref="J1194:K1194"/>
    <mergeCell ref="J1180:K1180"/>
    <mergeCell ref="J1181:K1181"/>
    <mergeCell ref="J1182:K1182"/>
    <mergeCell ref="J1184:K1184"/>
    <mergeCell ref="J1185:K1185"/>
    <mergeCell ref="J1186:K1186"/>
    <mergeCell ref="J1215:K1215"/>
    <mergeCell ref="J1216:K1216"/>
    <mergeCell ref="J1217:K1217"/>
    <mergeCell ref="J1219:K1219"/>
    <mergeCell ref="J1220:K1220"/>
    <mergeCell ref="J1221:K1221"/>
    <mergeCell ref="J1209:K1209"/>
    <mergeCell ref="J1210:K1210"/>
    <mergeCell ref="J1211:K1211"/>
    <mergeCell ref="J1212:K1212"/>
    <mergeCell ref="J1213:K1213"/>
    <mergeCell ref="J1214:K1214"/>
    <mergeCell ref="J1202:K1202"/>
    <mergeCell ref="J1203:K1203"/>
    <mergeCell ref="J1204:K1204"/>
    <mergeCell ref="J1205:K1205"/>
    <mergeCell ref="J1206:K1206"/>
    <mergeCell ref="J1208:K1208"/>
    <mergeCell ref="J1235:K1235"/>
    <mergeCell ref="J1236:K1236"/>
    <mergeCell ref="J1237:K1237"/>
    <mergeCell ref="J1238:K1238"/>
    <mergeCell ref="J1239:K1239"/>
    <mergeCell ref="J1241:K1241"/>
    <mergeCell ref="J1228:K1228"/>
    <mergeCell ref="J1230:K1230"/>
    <mergeCell ref="J1231:K1231"/>
    <mergeCell ref="J1232:K1232"/>
    <mergeCell ref="J1233:K1233"/>
    <mergeCell ref="J1234:K1234"/>
    <mergeCell ref="J1222:K1222"/>
    <mergeCell ref="J1223:K1223"/>
    <mergeCell ref="J1224:K1224"/>
    <mergeCell ref="J1225:K1225"/>
    <mergeCell ref="J1226:K1226"/>
    <mergeCell ref="J1227:K1227"/>
    <mergeCell ref="J1255:K1255"/>
    <mergeCell ref="J1256:K1256"/>
    <mergeCell ref="J1257:K1257"/>
    <mergeCell ref="J1258:K1258"/>
    <mergeCell ref="J1260:K1260"/>
    <mergeCell ref="J1261:K1261"/>
    <mergeCell ref="J1249:K1249"/>
    <mergeCell ref="J1250:K1250"/>
    <mergeCell ref="J1251:K1251"/>
    <mergeCell ref="J1252:K1252"/>
    <mergeCell ref="J1253:K1253"/>
    <mergeCell ref="J1254:K1254"/>
    <mergeCell ref="J1242:K1242"/>
    <mergeCell ref="J1243:K1243"/>
    <mergeCell ref="J1244:K1244"/>
    <mergeCell ref="J1245:K1245"/>
    <mergeCell ref="J1246:K1246"/>
    <mergeCell ref="J1248:K1248"/>
    <mergeCell ref="J1276:K1276"/>
    <mergeCell ref="J1278:K1278"/>
    <mergeCell ref="J1279:K1279"/>
    <mergeCell ref="J1280:K1280"/>
    <mergeCell ref="J1281:K1281"/>
    <mergeCell ref="J1283:K1283"/>
    <mergeCell ref="J1270:K1270"/>
    <mergeCell ref="J1271:K1271"/>
    <mergeCell ref="J1272:K1272"/>
    <mergeCell ref="J1273:K1273"/>
    <mergeCell ref="J1274:K1274"/>
    <mergeCell ref="J1275:K1275"/>
    <mergeCell ref="J1262:K1262"/>
    <mergeCell ref="J1263:K1263"/>
    <mergeCell ref="J1265:K1265"/>
    <mergeCell ref="J1266:K1266"/>
    <mergeCell ref="J1267:K1267"/>
    <mergeCell ref="J1268:K1268"/>
    <mergeCell ref="J1298:K1298"/>
    <mergeCell ref="J1299:K1299"/>
    <mergeCell ref="J1300:K1300"/>
    <mergeCell ref="J1301:K1301"/>
    <mergeCell ref="J1303:K1303"/>
    <mergeCell ref="J1304:K1304"/>
    <mergeCell ref="J1290:K1290"/>
    <mergeCell ref="J1292:K1292"/>
    <mergeCell ref="J1293:K1293"/>
    <mergeCell ref="J1294:K1294"/>
    <mergeCell ref="J1295:K1295"/>
    <mergeCell ref="J1296:K1296"/>
    <mergeCell ref="J1284:K1284"/>
    <mergeCell ref="J1285:K1285"/>
    <mergeCell ref="J1286:K1286"/>
    <mergeCell ref="J1287:K1287"/>
    <mergeCell ref="J1288:K1288"/>
    <mergeCell ref="J1289:K1289"/>
    <mergeCell ref="J1319:K1319"/>
    <mergeCell ref="J1320:K1320"/>
    <mergeCell ref="J1321:K1321"/>
    <mergeCell ref="J1322:K1322"/>
    <mergeCell ref="J1323:K1323"/>
    <mergeCell ref="J1324:K1324"/>
    <mergeCell ref="J1312:K1312"/>
    <mergeCell ref="J1313:K1313"/>
    <mergeCell ref="J1314:K1314"/>
    <mergeCell ref="J1315:K1315"/>
    <mergeCell ref="J1316:K1316"/>
    <mergeCell ref="J1318:K1318"/>
    <mergeCell ref="J1305:K1305"/>
    <mergeCell ref="J1306:K1306"/>
    <mergeCell ref="J1307:K1307"/>
    <mergeCell ref="J1309:K1309"/>
    <mergeCell ref="J1310:K1310"/>
    <mergeCell ref="J1311:K1311"/>
    <mergeCell ref="J1339:K1339"/>
    <mergeCell ref="J1340:K1340"/>
    <mergeCell ref="J1341:K1341"/>
    <mergeCell ref="J1343:K1343"/>
    <mergeCell ref="J1344:K1344"/>
    <mergeCell ref="J1345:K1345"/>
    <mergeCell ref="J1332:K1332"/>
    <mergeCell ref="J1333:K1333"/>
    <mergeCell ref="J1335:K1335"/>
    <mergeCell ref="J1336:K1336"/>
    <mergeCell ref="J1337:K1337"/>
    <mergeCell ref="J1338:K1338"/>
    <mergeCell ref="J1325:K1325"/>
    <mergeCell ref="J1327:K1327"/>
    <mergeCell ref="J1328:K1328"/>
    <mergeCell ref="J1329:K1329"/>
    <mergeCell ref="J1330:K1330"/>
    <mergeCell ref="J1331:K1331"/>
    <mergeCell ref="J1359:K1359"/>
    <mergeCell ref="J1360:K1360"/>
    <mergeCell ref="J1361:K1361"/>
    <mergeCell ref="J1362:K1362"/>
    <mergeCell ref="J1363:K1363"/>
    <mergeCell ref="J1364:K1364"/>
    <mergeCell ref="J1353:K1353"/>
    <mergeCell ref="J1354:K1354"/>
    <mergeCell ref="J1355:K1355"/>
    <mergeCell ref="J1356:K1356"/>
    <mergeCell ref="J1357:K1357"/>
    <mergeCell ref="J1358:K1358"/>
    <mergeCell ref="J1346:K1346"/>
    <mergeCell ref="J1347:K1347"/>
    <mergeCell ref="J1348:K1348"/>
    <mergeCell ref="J1349:K1349"/>
    <mergeCell ref="J1351:K1351"/>
    <mergeCell ref="J1352:K1352"/>
    <mergeCell ref="J1378:K1378"/>
    <mergeCell ref="J1379:K1379"/>
    <mergeCell ref="J1380:K1380"/>
    <mergeCell ref="J1381:K1381"/>
    <mergeCell ref="J1382:K1382"/>
    <mergeCell ref="J1383:K1383"/>
    <mergeCell ref="J1372:K1372"/>
    <mergeCell ref="J1373:K1373"/>
    <mergeCell ref="J1374:K1374"/>
    <mergeCell ref="J1375:K1375"/>
    <mergeCell ref="J1376:K1376"/>
    <mergeCell ref="J1377:K1377"/>
    <mergeCell ref="J1365:K1365"/>
    <mergeCell ref="J1366:K1366"/>
    <mergeCell ref="J1367:K1367"/>
    <mergeCell ref="J1369:K1369"/>
    <mergeCell ref="J1370:K1370"/>
    <mergeCell ref="J1371:K1371"/>
    <mergeCell ref="J1397:K1397"/>
    <mergeCell ref="J1398:K1398"/>
    <mergeCell ref="J1399:K1399"/>
    <mergeCell ref="J1401:K1401"/>
    <mergeCell ref="J1402:K1402"/>
    <mergeCell ref="J1403:K1403"/>
    <mergeCell ref="J1391:K1391"/>
    <mergeCell ref="J1392:K1392"/>
    <mergeCell ref="J1393:K1393"/>
    <mergeCell ref="J1394:K1394"/>
    <mergeCell ref="J1395:K1395"/>
    <mergeCell ref="J1396:K1396"/>
    <mergeCell ref="J1384:K1384"/>
    <mergeCell ref="J1385:K1385"/>
    <mergeCell ref="J1387:K1387"/>
    <mergeCell ref="J1388:K1388"/>
    <mergeCell ref="J1389:K1389"/>
    <mergeCell ref="J1390:K1390"/>
    <mergeCell ref="J1418:K1418"/>
    <mergeCell ref="J1420:K1420"/>
    <mergeCell ref="J1421:K1421"/>
    <mergeCell ref="J1422:K1422"/>
    <mergeCell ref="J1423:K1423"/>
    <mergeCell ref="J1424:K1424"/>
    <mergeCell ref="J1411:K1411"/>
    <mergeCell ref="J1412:K1412"/>
    <mergeCell ref="J1414:K1414"/>
    <mergeCell ref="J1415:K1415"/>
    <mergeCell ref="J1416:K1416"/>
    <mergeCell ref="J1417:K1417"/>
    <mergeCell ref="J1404:K1404"/>
    <mergeCell ref="J1405:K1405"/>
    <mergeCell ref="J1406:K1406"/>
    <mergeCell ref="J1408:K1408"/>
    <mergeCell ref="J1409:K1409"/>
    <mergeCell ref="J1410:K1410"/>
    <mergeCell ref="J1440:K1440"/>
    <mergeCell ref="J1441:K1441"/>
    <mergeCell ref="J1442:K1442"/>
    <mergeCell ref="J1444:K1444"/>
    <mergeCell ref="J1445:K1445"/>
    <mergeCell ref="J1446:K1446"/>
    <mergeCell ref="J1433:K1433"/>
    <mergeCell ref="J1434:K1434"/>
    <mergeCell ref="J1435:K1435"/>
    <mergeCell ref="J1436:K1436"/>
    <mergeCell ref="J1438:K1438"/>
    <mergeCell ref="J1439:K1439"/>
    <mergeCell ref="J1426:K1426"/>
    <mergeCell ref="J1427:K1427"/>
    <mergeCell ref="J1428:K1428"/>
    <mergeCell ref="J1429:K1429"/>
    <mergeCell ref="J1430:K1430"/>
    <mergeCell ref="J1432:K1432"/>
    <mergeCell ref="J1461:K1461"/>
    <mergeCell ref="J1463:K1463"/>
    <mergeCell ref="J1464:K1464"/>
    <mergeCell ref="J1465:K1465"/>
    <mergeCell ref="J1466:K1466"/>
    <mergeCell ref="J1467:K1467"/>
    <mergeCell ref="J1454:K1454"/>
    <mergeCell ref="J1455:K1455"/>
    <mergeCell ref="J1457:K1457"/>
    <mergeCell ref="J1458:K1458"/>
    <mergeCell ref="J1459:K1459"/>
    <mergeCell ref="J1460:K1460"/>
    <mergeCell ref="J1447:K1447"/>
    <mergeCell ref="J1448:K1448"/>
    <mergeCell ref="J1450:K1450"/>
    <mergeCell ref="J1451:K1451"/>
    <mergeCell ref="J1452:K1452"/>
    <mergeCell ref="J1453:K1453"/>
    <mergeCell ref="J1482:K1482"/>
    <mergeCell ref="J1484:K1484"/>
    <mergeCell ref="J1485:K1485"/>
    <mergeCell ref="J1486:K1486"/>
    <mergeCell ref="J1487:K1487"/>
    <mergeCell ref="J1488:K1488"/>
    <mergeCell ref="J1475:K1475"/>
    <mergeCell ref="J1476:K1476"/>
    <mergeCell ref="J1478:K1478"/>
    <mergeCell ref="J1479:K1479"/>
    <mergeCell ref="J1480:K1480"/>
    <mergeCell ref="J1481:K1481"/>
    <mergeCell ref="J1468:K1468"/>
    <mergeCell ref="J1469:K1469"/>
    <mergeCell ref="J1470:K1470"/>
    <mergeCell ref="J1472:K1472"/>
    <mergeCell ref="J1473:K1473"/>
    <mergeCell ref="J1474:K1474"/>
    <mergeCell ref="J1504:K1504"/>
    <mergeCell ref="J1505:K1505"/>
    <mergeCell ref="J1506:K1506"/>
    <mergeCell ref="J1507:K1507"/>
    <mergeCell ref="J1509:K1509"/>
    <mergeCell ref="J1510:K1510"/>
    <mergeCell ref="J1497:K1497"/>
    <mergeCell ref="J1498:K1498"/>
    <mergeCell ref="J1499:K1499"/>
    <mergeCell ref="J1500:K1500"/>
    <mergeCell ref="J1501:K1501"/>
    <mergeCell ref="J1502:K1502"/>
    <mergeCell ref="J1490:K1490"/>
    <mergeCell ref="J1491:K1491"/>
    <mergeCell ref="J1492:K1492"/>
    <mergeCell ref="J1493:K1493"/>
    <mergeCell ref="J1494:K1494"/>
    <mergeCell ref="J1496:K1496"/>
    <mergeCell ref="J1525:K1525"/>
    <mergeCell ref="J1526:K1526"/>
    <mergeCell ref="J1527:K1527"/>
    <mergeCell ref="J1528:K1528"/>
    <mergeCell ref="J1529:K1529"/>
    <mergeCell ref="J1530:K1530"/>
    <mergeCell ref="J1518:K1518"/>
    <mergeCell ref="J1519:K1519"/>
    <mergeCell ref="J1521:K1521"/>
    <mergeCell ref="J1522:K1522"/>
    <mergeCell ref="J1523:K1523"/>
    <mergeCell ref="J1524:K1524"/>
    <mergeCell ref="J1511:K1511"/>
    <mergeCell ref="J1512:K1512"/>
    <mergeCell ref="J1514:K1514"/>
    <mergeCell ref="J1515:K1515"/>
    <mergeCell ref="J1516:K1516"/>
    <mergeCell ref="J1517:K1517"/>
    <mergeCell ref="J1543:K1543"/>
    <mergeCell ref="J1544:K1544"/>
    <mergeCell ref="J1545:K1545"/>
    <mergeCell ref="J1546:K1546"/>
    <mergeCell ref="J1547:K1547"/>
    <mergeCell ref="J1548:K1548"/>
    <mergeCell ref="J1537:K1537"/>
    <mergeCell ref="J1538:K1538"/>
    <mergeCell ref="J1539:K1539"/>
    <mergeCell ref="J1540:K1540"/>
    <mergeCell ref="J1541:K1541"/>
    <mergeCell ref="J1542:K1542"/>
    <mergeCell ref="J1531:K1531"/>
    <mergeCell ref="J1532:K1532"/>
    <mergeCell ref="J1533:K1533"/>
    <mergeCell ref="J1534:K1534"/>
    <mergeCell ref="J1535:K1535"/>
    <mergeCell ref="J1536:K1536"/>
    <mergeCell ref="J1561:K1561"/>
    <mergeCell ref="J1562:K1562"/>
    <mergeCell ref="J1563:K1563"/>
    <mergeCell ref="J1564:K1564"/>
    <mergeCell ref="J1565:K1565"/>
    <mergeCell ref="J1566:K1566"/>
    <mergeCell ref="J1555:K1555"/>
    <mergeCell ref="J1556:K1556"/>
    <mergeCell ref="J1557:K1557"/>
    <mergeCell ref="J1558:K1558"/>
    <mergeCell ref="J1559:K1559"/>
    <mergeCell ref="J1560:K1560"/>
    <mergeCell ref="J1549:K1549"/>
    <mergeCell ref="J1550:K1550"/>
    <mergeCell ref="J1551:K1551"/>
    <mergeCell ref="J1552:K1552"/>
    <mergeCell ref="J1553:K1553"/>
    <mergeCell ref="J1554:K1554"/>
    <mergeCell ref="J1579:K1579"/>
    <mergeCell ref="J1580:K1580"/>
    <mergeCell ref="J1581:K1581"/>
    <mergeCell ref="J1582:K1582"/>
    <mergeCell ref="J1583:K1583"/>
    <mergeCell ref="J1584:K1584"/>
    <mergeCell ref="J1573:K1573"/>
    <mergeCell ref="J1574:K1574"/>
    <mergeCell ref="J1575:K1575"/>
    <mergeCell ref="J1576:K1576"/>
    <mergeCell ref="J1577:K1577"/>
    <mergeCell ref="J1578:K1578"/>
    <mergeCell ref="J1567:K1567"/>
    <mergeCell ref="J1568:K1568"/>
    <mergeCell ref="J1569:K1569"/>
    <mergeCell ref="J1570:K1570"/>
    <mergeCell ref="J1571:K1571"/>
    <mergeCell ref="J1572:K1572"/>
    <mergeCell ref="J1600:K1600"/>
    <mergeCell ref="J1601:K1601"/>
    <mergeCell ref="J1602:K1602"/>
    <mergeCell ref="J1603:K1603"/>
    <mergeCell ref="J1605:K1605"/>
    <mergeCell ref="J1606:K1606"/>
    <mergeCell ref="J1592:K1592"/>
    <mergeCell ref="J1594:K1594"/>
    <mergeCell ref="J1595:K1595"/>
    <mergeCell ref="J1596:K1596"/>
    <mergeCell ref="J1597:K1597"/>
    <mergeCell ref="J1598:K1598"/>
    <mergeCell ref="J1585:K1585"/>
    <mergeCell ref="J1586:K1586"/>
    <mergeCell ref="J1588:K1588"/>
    <mergeCell ref="J1589:K1589"/>
    <mergeCell ref="J1590:K1590"/>
    <mergeCell ref="J1591:K1591"/>
    <mergeCell ref="J1622:K1622"/>
    <mergeCell ref="J1623:K1623"/>
    <mergeCell ref="J1624:K1624"/>
    <mergeCell ref="J1625:K1625"/>
    <mergeCell ref="J1627:K1627"/>
    <mergeCell ref="J1628:K1628"/>
    <mergeCell ref="J1614:K1614"/>
    <mergeCell ref="J1615:K1615"/>
    <mergeCell ref="J1617:K1617"/>
    <mergeCell ref="J1618:K1618"/>
    <mergeCell ref="J1619:K1619"/>
    <mergeCell ref="J1620:K1620"/>
    <mergeCell ref="J1607:K1607"/>
    <mergeCell ref="J1608:K1608"/>
    <mergeCell ref="J1609:K1609"/>
    <mergeCell ref="J1611:K1611"/>
    <mergeCell ref="J1612:K1612"/>
    <mergeCell ref="J1613:K1613"/>
    <mergeCell ref="J1644:K1644"/>
    <mergeCell ref="J1645:K1645"/>
    <mergeCell ref="J1646:K1646"/>
    <mergeCell ref="J1647:K1647"/>
    <mergeCell ref="J1648:K1648"/>
    <mergeCell ref="J1649:K1649"/>
    <mergeCell ref="J1636:K1636"/>
    <mergeCell ref="J1638:K1638"/>
    <mergeCell ref="J1639:K1639"/>
    <mergeCell ref="J1640:K1640"/>
    <mergeCell ref="J1641:K1641"/>
    <mergeCell ref="J1642:K1642"/>
    <mergeCell ref="J1629:K1629"/>
    <mergeCell ref="J1630:K1630"/>
    <mergeCell ref="J1631:K1631"/>
    <mergeCell ref="J1632:K1632"/>
    <mergeCell ref="J1634:K1634"/>
    <mergeCell ref="J1635:K1635"/>
    <mergeCell ref="J1664:K1664"/>
    <mergeCell ref="J1665:K1665"/>
    <mergeCell ref="J1666:K1666"/>
    <mergeCell ref="J1668:K1668"/>
    <mergeCell ref="J1669:K1669"/>
    <mergeCell ref="J1670:K1670"/>
    <mergeCell ref="J1657:K1657"/>
    <mergeCell ref="J1658:K1658"/>
    <mergeCell ref="J1659:K1659"/>
    <mergeCell ref="J1660:K1660"/>
    <mergeCell ref="J1662:K1662"/>
    <mergeCell ref="J1663:K1663"/>
    <mergeCell ref="J1650:K1650"/>
    <mergeCell ref="J1651:K1651"/>
    <mergeCell ref="J1652:K1652"/>
    <mergeCell ref="J1654:K1654"/>
    <mergeCell ref="J1655:K1655"/>
    <mergeCell ref="J1656:K1656"/>
    <mergeCell ref="J1685:K1685"/>
    <mergeCell ref="J1687:K1687"/>
    <mergeCell ref="J1688:K1688"/>
    <mergeCell ref="J1689:K1689"/>
    <mergeCell ref="J1690:K1690"/>
    <mergeCell ref="J1691:K1691"/>
    <mergeCell ref="J1678:K1678"/>
    <mergeCell ref="J1679:K1679"/>
    <mergeCell ref="J1681:K1681"/>
    <mergeCell ref="J1682:K1682"/>
    <mergeCell ref="J1683:K1683"/>
    <mergeCell ref="J1684:K1684"/>
    <mergeCell ref="J1671:K1671"/>
    <mergeCell ref="J1672:K1672"/>
    <mergeCell ref="J1673:K1673"/>
    <mergeCell ref="J1675:K1675"/>
    <mergeCell ref="J1676:K1676"/>
    <mergeCell ref="J1677:K1677"/>
    <mergeCell ref="J1707:K1707"/>
    <mergeCell ref="J1709:K1709"/>
    <mergeCell ref="J1710:K1710"/>
    <mergeCell ref="J1711:K1711"/>
    <mergeCell ref="J1712:K1712"/>
    <mergeCell ref="J1713:K1713"/>
    <mergeCell ref="J1700:K1700"/>
    <mergeCell ref="J1701:K1701"/>
    <mergeCell ref="J1703:K1703"/>
    <mergeCell ref="J1704:K1704"/>
    <mergeCell ref="J1705:K1705"/>
    <mergeCell ref="J1706:K1706"/>
    <mergeCell ref="J1693:K1693"/>
    <mergeCell ref="J1694:K1694"/>
    <mergeCell ref="J1695:K1695"/>
    <mergeCell ref="J1696:K1696"/>
    <mergeCell ref="J1698:K1698"/>
    <mergeCell ref="J1699:K1699"/>
    <mergeCell ref="J1729:K1729"/>
    <mergeCell ref="J1730:K1730"/>
    <mergeCell ref="J1732:K1732"/>
    <mergeCell ref="J1733:K1733"/>
    <mergeCell ref="J1734:K1734"/>
    <mergeCell ref="J1735:K1735"/>
    <mergeCell ref="J1722:K1722"/>
    <mergeCell ref="J1723:K1723"/>
    <mergeCell ref="J1724:K1724"/>
    <mergeCell ref="J1725:K1725"/>
    <mergeCell ref="J1727:K1727"/>
    <mergeCell ref="J1728:K1728"/>
    <mergeCell ref="J1715:K1715"/>
    <mergeCell ref="J1716:K1716"/>
    <mergeCell ref="J1717:K1717"/>
    <mergeCell ref="J1718:K1718"/>
    <mergeCell ref="J1719:K1719"/>
    <mergeCell ref="J1721:K1721"/>
    <mergeCell ref="J1751:K1751"/>
    <mergeCell ref="J1752:K1752"/>
    <mergeCell ref="J1753:K1753"/>
    <mergeCell ref="J1755:K1755"/>
    <mergeCell ref="J1756:K1756"/>
    <mergeCell ref="J1757:K1757"/>
    <mergeCell ref="J1744:K1744"/>
    <mergeCell ref="J1745:K1745"/>
    <mergeCell ref="J1746:K1746"/>
    <mergeCell ref="J1747:K1747"/>
    <mergeCell ref="J1749:K1749"/>
    <mergeCell ref="J1750:K1750"/>
    <mergeCell ref="J1737:K1737"/>
    <mergeCell ref="J1738:K1738"/>
    <mergeCell ref="J1739:K1739"/>
    <mergeCell ref="J1740:K1740"/>
    <mergeCell ref="J1741:K1741"/>
    <mergeCell ref="J1743:K1743"/>
    <mergeCell ref="J1773:K1773"/>
    <mergeCell ref="J1774:K1774"/>
    <mergeCell ref="J1775:K1775"/>
    <mergeCell ref="J1776:K1776"/>
    <mergeCell ref="J1778:K1778"/>
    <mergeCell ref="J1779:K1779"/>
    <mergeCell ref="J1766:K1766"/>
    <mergeCell ref="J1767:K1767"/>
    <mergeCell ref="J1768:K1768"/>
    <mergeCell ref="J1770:K1770"/>
    <mergeCell ref="J1771:K1771"/>
    <mergeCell ref="J1772:K1772"/>
    <mergeCell ref="J1758:K1758"/>
    <mergeCell ref="J1760:K1760"/>
    <mergeCell ref="J1761:K1761"/>
    <mergeCell ref="J1762:K1762"/>
    <mergeCell ref="J1763:K1763"/>
    <mergeCell ref="J1765:K1765"/>
    <mergeCell ref="J1794:K1794"/>
    <mergeCell ref="J1795:K1795"/>
    <mergeCell ref="J1796:K1796"/>
    <mergeCell ref="J1797:K1797"/>
    <mergeCell ref="J1799:K1799"/>
    <mergeCell ref="J1800:K1800"/>
    <mergeCell ref="J1787:K1787"/>
    <mergeCell ref="J1788:K1788"/>
    <mergeCell ref="J1789:K1789"/>
    <mergeCell ref="J1791:K1791"/>
    <mergeCell ref="J1792:K1792"/>
    <mergeCell ref="J1793:K1793"/>
    <mergeCell ref="J1780:K1780"/>
    <mergeCell ref="J1781:K1781"/>
    <mergeCell ref="J1782:K1782"/>
    <mergeCell ref="J1783:K1783"/>
    <mergeCell ref="J1785:K1785"/>
    <mergeCell ref="J1786:K1786"/>
    <mergeCell ref="J1815:K1815"/>
    <mergeCell ref="J1816:K1816"/>
    <mergeCell ref="J1817:K1817"/>
    <mergeCell ref="J1818:K1818"/>
    <mergeCell ref="J1820:K1820"/>
    <mergeCell ref="J1821:K1821"/>
    <mergeCell ref="J1808:K1808"/>
    <mergeCell ref="J1809:K1809"/>
    <mergeCell ref="J1810:K1810"/>
    <mergeCell ref="J1811:K1811"/>
    <mergeCell ref="J1812:K1812"/>
    <mergeCell ref="J1814:K1814"/>
    <mergeCell ref="J1801:K1801"/>
    <mergeCell ref="J1802:K1802"/>
    <mergeCell ref="J1803:K1803"/>
    <mergeCell ref="J1804:K1804"/>
    <mergeCell ref="J1805:K1805"/>
    <mergeCell ref="J1807:K1807"/>
    <mergeCell ref="J1836:K1836"/>
    <mergeCell ref="J1838:K1838"/>
    <mergeCell ref="J1839:K1839"/>
    <mergeCell ref="J1840:K1840"/>
    <mergeCell ref="J1841:K1841"/>
    <mergeCell ref="J1842:K1842"/>
    <mergeCell ref="J1829:K1829"/>
    <mergeCell ref="J1830:K1830"/>
    <mergeCell ref="J1832:K1832"/>
    <mergeCell ref="J1833:K1833"/>
    <mergeCell ref="J1834:K1834"/>
    <mergeCell ref="J1835:K1835"/>
    <mergeCell ref="J1822:K1822"/>
    <mergeCell ref="J1823:K1823"/>
    <mergeCell ref="J1824:K1824"/>
    <mergeCell ref="J1826:K1826"/>
    <mergeCell ref="J1827:K1827"/>
    <mergeCell ref="J1828:K1828"/>
    <mergeCell ref="J1858:K1858"/>
    <mergeCell ref="J1859:K1859"/>
    <mergeCell ref="J1860:K1860"/>
    <mergeCell ref="J1861:K1861"/>
    <mergeCell ref="J1862:K1862"/>
    <mergeCell ref="J1864:K1864"/>
    <mergeCell ref="J1851:K1851"/>
    <mergeCell ref="J1852:K1852"/>
    <mergeCell ref="J1854:K1854"/>
    <mergeCell ref="J1855:K1855"/>
    <mergeCell ref="J1856:K1856"/>
    <mergeCell ref="J1857:K1857"/>
    <mergeCell ref="J1844:K1844"/>
    <mergeCell ref="J1845:K1845"/>
    <mergeCell ref="J1846:K1846"/>
    <mergeCell ref="J1847:K1847"/>
    <mergeCell ref="J1849:K1849"/>
    <mergeCell ref="J1850:K1850"/>
    <mergeCell ref="J1879:K1879"/>
    <mergeCell ref="J1880:K1880"/>
    <mergeCell ref="J1881:K1881"/>
    <mergeCell ref="J1882:K1882"/>
    <mergeCell ref="J1884:K1884"/>
    <mergeCell ref="J1885:K1885"/>
    <mergeCell ref="J1872:K1872"/>
    <mergeCell ref="J1873:K1873"/>
    <mergeCell ref="J1874:K1874"/>
    <mergeCell ref="J1875:K1875"/>
    <mergeCell ref="J1876:K1876"/>
    <mergeCell ref="J1878:K1878"/>
    <mergeCell ref="J1865:K1865"/>
    <mergeCell ref="J1866:K1866"/>
    <mergeCell ref="J1867:K1867"/>
    <mergeCell ref="J1868:K1868"/>
    <mergeCell ref="J1869:K1869"/>
    <mergeCell ref="J1870:K1870"/>
    <mergeCell ref="J1900:K1900"/>
    <mergeCell ref="J1901:K1901"/>
    <mergeCell ref="J1902:K1902"/>
    <mergeCell ref="J1904:K1904"/>
    <mergeCell ref="J1905:K1905"/>
    <mergeCell ref="J1906:K1906"/>
    <mergeCell ref="J1893:K1893"/>
    <mergeCell ref="J1895:K1895"/>
    <mergeCell ref="J1896:K1896"/>
    <mergeCell ref="J1897:K1897"/>
    <mergeCell ref="J1898:K1898"/>
    <mergeCell ref="J1899:K1899"/>
    <mergeCell ref="J1886:K1886"/>
    <mergeCell ref="J1887:K1887"/>
    <mergeCell ref="J1888:K1888"/>
    <mergeCell ref="J1890:K1890"/>
    <mergeCell ref="J1891:K1891"/>
    <mergeCell ref="J1892:K1892"/>
    <mergeCell ref="J1922:K1922"/>
    <mergeCell ref="J1925:K1925"/>
    <mergeCell ref="J1926:K1926"/>
    <mergeCell ref="J1927:K1927"/>
    <mergeCell ref="J1929:K1929"/>
    <mergeCell ref="J1930:K1930"/>
    <mergeCell ref="A1915:K1915"/>
    <mergeCell ref="J1917:K1917"/>
    <mergeCell ref="J1918:K1918"/>
    <mergeCell ref="J1919:K1919"/>
    <mergeCell ref="J1920:K1920"/>
    <mergeCell ref="J1921:K1921"/>
    <mergeCell ref="J1907:K1907"/>
    <mergeCell ref="J1908:K1908"/>
    <mergeCell ref="J1910:K1910"/>
    <mergeCell ref="J1911:K1911"/>
    <mergeCell ref="J1912:K1912"/>
    <mergeCell ref="J1913:K1913"/>
    <mergeCell ref="J1948:K1948"/>
    <mergeCell ref="J1950:K1950"/>
    <mergeCell ref="J1951:K1951"/>
    <mergeCell ref="J1952:K1952"/>
    <mergeCell ref="J1953:K1953"/>
    <mergeCell ref="J1939:K1939"/>
    <mergeCell ref="J1942:K1942"/>
    <mergeCell ref="J1943:K1943"/>
    <mergeCell ref="J1944:K1944"/>
    <mergeCell ref="J1945:K1945"/>
    <mergeCell ref="J1946:K1946"/>
    <mergeCell ref="J1931:K1931"/>
    <mergeCell ref="J1932:K1932"/>
    <mergeCell ref="J1935:K1935"/>
    <mergeCell ref="J1936:K1936"/>
    <mergeCell ref="J1937:K1937"/>
    <mergeCell ref="J1938:K1938"/>
    <mergeCell ref="J31:K31"/>
    <mergeCell ref="J32:K32"/>
    <mergeCell ref="J33:K33"/>
    <mergeCell ref="J1978:K1978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1972:K1972"/>
    <mergeCell ref="J1973:K1973"/>
    <mergeCell ref="J1974:K1974"/>
    <mergeCell ref="J1975:K1975"/>
    <mergeCell ref="J1976:K1976"/>
    <mergeCell ref="J1977:K1977"/>
    <mergeCell ref="J1964:K1964"/>
    <mergeCell ref="J1965:K1965"/>
    <mergeCell ref="J1966:K1966"/>
    <mergeCell ref="J1967:K1967"/>
    <mergeCell ref="J1968:K1968"/>
    <mergeCell ref="J1969:K1969"/>
    <mergeCell ref="J1954:K1954"/>
    <mergeCell ref="J1955:K1955"/>
    <mergeCell ref="J1958:K1958"/>
    <mergeCell ref="J1959:K1959"/>
    <mergeCell ref="J1960:K1960"/>
    <mergeCell ref="J1961:K1961"/>
    <mergeCell ref="J1947:K1947"/>
  </mergeCells>
  <pageMargins left="0.5" right="0.5" top="1" bottom="1" header="0.5" footer="0.5"/>
  <pageSetup paperSize="8" scale="61" orientation="landscape" r:id="rId1"/>
  <headerFooter>
    <oddFooter xml:space="preserve">&amp;R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5"/>
  <sheetViews>
    <sheetView view="pageBreakPreview" topLeftCell="A294" zoomScale="60" zoomScaleNormal="100" workbookViewId="0">
      <selection activeCell="C352" sqref="C352"/>
    </sheetView>
  </sheetViews>
  <sheetFormatPr defaultRowHeight="15" x14ac:dyDescent="0.25"/>
  <cols>
    <col min="2" max="2" width="40.28515625" customWidth="1"/>
    <col min="3" max="3" width="49.28515625" customWidth="1"/>
    <col min="4" max="4" width="20.5703125" customWidth="1"/>
    <col min="5" max="5" width="12.140625" bestFit="1" customWidth="1"/>
    <col min="6" max="6" width="13.28515625" bestFit="1" customWidth="1"/>
    <col min="9" max="9" width="10.5703125" bestFit="1" customWidth="1"/>
    <col min="10" max="10" width="17.28515625" bestFit="1" customWidth="1"/>
  </cols>
  <sheetData>
    <row r="1" spans="1:10" ht="21" x14ac:dyDescent="0.35">
      <c r="A1" s="811" t="s">
        <v>1044</v>
      </c>
      <c r="B1" s="811"/>
      <c r="C1" s="811"/>
      <c r="D1" s="811"/>
      <c r="E1" s="811"/>
      <c r="F1" s="811"/>
      <c r="G1" s="811"/>
      <c r="H1" s="811"/>
      <c r="I1" s="811"/>
      <c r="J1" s="811"/>
    </row>
    <row r="2" spans="1:10" x14ac:dyDescent="0.25">
      <c r="A2" s="793">
        <v>179</v>
      </c>
      <c r="B2" s="791" t="s">
        <v>733</v>
      </c>
      <c r="C2" s="243" t="s">
        <v>734</v>
      </c>
      <c r="D2" s="244" t="s">
        <v>735</v>
      </c>
      <c r="E2" s="243">
        <v>36644374</v>
      </c>
      <c r="F2" s="243" t="s">
        <v>736</v>
      </c>
      <c r="G2" s="245">
        <v>42795</v>
      </c>
      <c r="H2" s="246" t="s">
        <v>737</v>
      </c>
      <c r="I2" s="247">
        <v>8.0399999999999991</v>
      </c>
      <c r="J2" s="792">
        <v>4.88</v>
      </c>
    </row>
    <row r="3" spans="1:10" x14ac:dyDescent="0.25">
      <c r="A3" s="793"/>
      <c r="B3" s="791"/>
      <c r="C3" s="243" t="s">
        <v>738</v>
      </c>
      <c r="D3" s="244" t="s">
        <v>739</v>
      </c>
      <c r="E3" s="243">
        <v>36344700</v>
      </c>
      <c r="F3" s="243" t="s">
        <v>740</v>
      </c>
      <c r="G3" s="245">
        <v>42795</v>
      </c>
      <c r="H3" s="246" t="s">
        <v>737</v>
      </c>
      <c r="I3" s="247">
        <v>4.42</v>
      </c>
      <c r="J3" s="792"/>
    </row>
    <row r="4" spans="1:10" x14ac:dyDescent="0.25">
      <c r="A4" s="793"/>
      <c r="B4" s="791"/>
      <c r="C4" s="243" t="s">
        <v>741</v>
      </c>
      <c r="D4" s="244" t="s">
        <v>742</v>
      </c>
      <c r="E4" s="243">
        <v>36461605</v>
      </c>
      <c r="F4" s="243" t="s">
        <v>743</v>
      </c>
      <c r="G4" s="245">
        <v>42795</v>
      </c>
      <c r="H4" s="246" t="s">
        <v>737</v>
      </c>
      <c r="I4" s="247">
        <v>4.88</v>
      </c>
      <c r="J4" s="792"/>
    </row>
    <row r="5" spans="1:10" x14ac:dyDescent="0.25">
      <c r="A5" s="793">
        <v>232</v>
      </c>
      <c r="B5" s="821" t="s">
        <v>744</v>
      </c>
      <c r="C5" s="243" t="s">
        <v>745</v>
      </c>
      <c r="D5" s="347" t="s">
        <v>746</v>
      </c>
      <c r="E5" s="243" t="s">
        <v>747</v>
      </c>
      <c r="F5" s="243" t="s">
        <v>748</v>
      </c>
      <c r="G5" s="245">
        <v>42856</v>
      </c>
      <c r="H5" s="348" t="s">
        <v>749</v>
      </c>
      <c r="I5" s="349">
        <v>45.194375000000001</v>
      </c>
      <c r="J5" s="792">
        <v>28.0625</v>
      </c>
    </row>
    <row r="6" spans="1:10" x14ac:dyDescent="0.25">
      <c r="A6" s="793"/>
      <c r="B6" s="821"/>
      <c r="C6" s="243" t="s">
        <v>750</v>
      </c>
      <c r="D6" s="347" t="s">
        <v>751</v>
      </c>
      <c r="E6" s="243" t="s">
        <v>752</v>
      </c>
      <c r="F6" s="243" t="s">
        <v>753</v>
      </c>
      <c r="G6" s="245">
        <v>42856</v>
      </c>
      <c r="H6" s="348" t="s">
        <v>749</v>
      </c>
      <c r="I6" s="349">
        <v>23.548749999999998</v>
      </c>
      <c r="J6" s="792"/>
    </row>
    <row r="7" spans="1:10" x14ac:dyDescent="0.25">
      <c r="A7" s="793"/>
      <c r="B7" s="821"/>
      <c r="C7" s="243" t="s">
        <v>754</v>
      </c>
      <c r="D7" s="347" t="s">
        <v>755</v>
      </c>
      <c r="E7" s="243" t="s">
        <v>756</v>
      </c>
      <c r="F7" s="243" t="s">
        <v>757</v>
      </c>
      <c r="G7" s="245">
        <v>42856</v>
      </c>
      <c r="H7" s="348" t="s">
        <v>749</v>
      </c>
      <c r="I7" s="349">
        <v>28.0625</v>
      </c>
      <c r="J7" s="792"/>
    </row>
    <row r="8" spans="1:10" x14ac:dyDescent="0.25">
      <c r="A8" s="793">
        <v>157</v>
      </c>
      <c r="B8" s="791" t="s">
        <v>758</v>
      </c>
      <c r="C8" s="333" t="s">
        <v>759</v>
      </c>
      <c r="D8" s="331"/>
      <c r="E8" s="333" t="s">
        <v>760</v>
      </c>
      <c r="F8" s="333" t="s">
        <v>761</v>
      </c>
      <c r="G8" s="350">
        <v>42826</v>
      </c>
      <c r="H8" s="246" t="s">
        <v>60</v>
      </c>
      <c r="I8" s="247">
        <v>2310</v>
      </c>
      <c r="J8" s="792">
        <v>2310</v>
      </c>
    </row>
    <row r="9" spans="1:10" x14ac:dyDescent="0.25">
      <c r="A9" s="793"/>
      <c r="B9" s="791"/>
      <c r="C9" s="333" t="s">
        <v>762</v>
      </c>
      <c r="D9" s="331" t="s">
        <v>763</v>
      </c>
      <c r="E9" s="333" t="s">
        <v>764</v>
      </c>
      <c r="F9" s="333" t="s">
        <v>765</v>
      </c>
      <c r="G9" s="350">
        <v>42826</v>
      </c>
      <c r="H9" s="246" t="s">
        <v>60</v>
      </c>
      <c r="I9" s="247">
        <v>2650</v>
      </c>
      <c r="J9" s="792"/>
    </row>
    <row r="10" spans="1:10" x14ac:dyDescent="0.25">
      <c r="A10" s="793"/>
      <c r="B10" s="791"/>
      <c r="C10" s="333" t="s">
        <v>766</v>
      </c>
      <c r="D10" s="331" t="s">
        <v>767</v>
      </c>
      <c r="E10" s="333" t="s">
        <v>768</v>
      </c>
      <c r="F10" s="333"/>
      <c r="G10" s="350">
        <v>42826</v>
      </c>
      <c r="H10" s="246" t="s">
        <v>60</v>
      </c>
      <c r="I10" s="247">
        <v>2268</v>
      </c>
      <c r="J10" s="792"/>
    </row>
    <row r="11" spans="1:10" ht="15" customHeight="1" x14ac:dyDescent="0.25">
      <c r="A11" s="793">
        <v>195</v>
      </c>
      <c r="B11" s="791" t="s">
        <v>769</v>
      </c>
      <c r="C11" s="351" t="s">
        <v>770</v>
      </c>
      <c r="D11" s="352"/>
      <c r="E11" s="351" t="s">
        <v>771</v>
      </c>
      <c r="F11" s="351" t="s">
        <v>772</v>
      </c>
      <c r="G11" s="353">
        <v>42754</v>
      </c>
      <c r="H11" s="246" t="s">
        <v>60</v>
      </c>
      <c r="I11" s="354">
        <v>1100</v>
      </c>
      <c r="J11" s="792">
        <v>1100</v>
      </c>
    </row>
    <row r="12" spans="1:10" x14ac:dyDescent="0.25">
      <c r="A12" s="793"/>
      <c r="B12" s="791"/>
      <c r="C12" s="351" t="s">
        <v>773</v>
      </c>
      <c r="D12" s="352"/>
      <c r="E12" s="351" t="s">
        <v>774</v>
      </c>
      <c r="F12" s="351" t="s">
        <v>775</v>
      </c>
      <c r="G12" s="353">
        <v>42736</v>
      </c>
      <c r="H12" s="246" t="s">
        <v>60</v>
      </c>
      <c r="I12" s="354">
        <v>1050</v>
      </c>
      <c r="J12" s="792"/>
    </row>
    <row r="13" spans="1:10" x14ac:dyDescent="0.25">
      <c r="A13" s="793"/>
      <c r="B13" s="791"/>
      <c r="C13" s="351" t="s">
        <v>776</v>
      </c>
      <c r="D13" s="352" t="s">
        <v>777</v>
      </c>
      <c r="E13" s="351">
        <v>36532049</v>
      </c>
      <c r="F13" s="351" t="s">
        <v>778</v>
      </c>
      <c r="G13" s="353">
        <v>42736</v>
      </c>
      <c r="H13" s="246" t="s">
        <v>60</v>
      </c>
      <c r="I13" s="354">
        <v>1100</v>
      </c>
      <c r="J13" s="792"/>
    </row>
    <row r="14" spans="1:10" ht="15" customHeight="1" x14ac:dyDescent="0.25">
      <c r="A14" s="793">
        <v>193</v>
      </c>
      <c r="B14" s="791" t="s">
        <v>779</v>
      </c>
      <c r="C14" s="351" t="s">
        <v>770</v>
      </c>
      <c r="D14" s="352"/>
      <c r="E14" s="351" t="s">
        <v>771</v>
      </c>
      <c r="F14" s="351" t="s">
        <v>772</v>
      </c>
      <c r="G14" s="353">
        <v>42754</v>
      </c>
      <c r="H14" s="246" t="s">
        <v>60</v>
      </c>
      <c r="I14" s="354">
        <v>990</v>
      </c>
      <c r="J14" s="792">
        <v>990</v>
      </c>
    </row>
    <row r="15" spans="1:10" x14ac:dyDescent="0.25">
      <c r="A15" s="793"/>
      <c r="B15" s="791"/>
      <c r="C15" s="351" t="s">
        <v>773</v>
      </c>
      <c r="D15" s="352"/>
      <c r="E15" s="351" t="s">
        <v>774</v>
      </c>
      <c r="F15" s="351" t="s">
        <v>775</v>
      </c>
      <c r="G15" s="353">
        <v>42736</v>
      </c>
      <c r="H15" s="246" t="s">
        <v>60</v>
      </c>
      <c r="I15" s="354">
        <v>990</v>
      </c>
      <c r="J15" s="792"/>
    </row>
    <row r="16" spans="1:10" x14ac:dyDescent="0.25">
      <c r="A16" s="793"/>
      <c r="B16" s="791"/>
      <c r="C16" s="351" t="s">
        <v>776</v>
      </c>
      <c r="D16" s="352" t="s">
        <v>777</v>
      </c>
      <c r="E16" s="351">
        <v>36532049</v>
      </c>
      <c r="F16" s="351" t="s">
        <v>778</v>
      </c>
      <c r="G16" s="353">
        <v>42736</v>
      </c>
      <c r="H16" s="246" t="s">
        <v>60</v>
      </c>
      <c r="I16" s="355">
        <v>1400</v>
      </c>
      <c r="J16" s="792"/>
    </row>
    <row r="17" spans="1:10" ht="15" customHeight="1" x14ac:dyDescent="0.25">
      <c r="A17" s="793">
        <v>194</v>
      </c>
      <c r="B17" s="791" t="s">
        <v>780</v>
      </c>
      <c r="C17" s="351" t="s">
        <v>770</v>
      </c>
      <c r="D17" s="352"/>
      <c r="E17" s="351" t="s">
        <v>771</v>
      </c>
      <c r="F17" s="351" t="s">
        <v>772</v>
      </c>
      <c r="G17" s="353">
        <v>42754</v>
      </c>
      <c r="H17" s="246" t="s">
        <v>60</v>
      </c>
      <c r="I17" s="354">
        <v>1250</v>
      </c>
      <c r="J17" s="792">
        <v>1350</v>
      </c>
    </row>
    <row r="18" spans="1:10" x14ac:dyDescent="0.25">
      <c r="A18" s="793"/>
      <c r="B18" s="791"/>
      <c r="C18" s="351" t="s">
        <v>773</v>
      </c>
      <c r="D18" s="352"/>
      <c r="E18" s="351" t="s">
        <v>774</v>
      </c>
      <c r="F18" s="351" t="s">
        <v>775</v>
      </c>
      <c r="G18" s="353">
        <v>42736</v>
      </c>
      <c r="H18" s="246" t="s">
        <v>60</v>
      </c>
      <c r="I18" s="354">
        <v>1350</v>
      </c>
      <c r="J18" s="792"/>
    </row>
    <row r="19" spans="1:10" x14ac:dyDescent="0.25">
      <c r="A19" s="793"/>
      <c r="B19" s="791"/>
      <c r="C19" s="351" t="s">
        <v>776</v>
      </c>
      <c r="D19" s="352" t="s">
        <v>777</v>
      </c>
      <c r="E19" s="351">
        <v>36532049</v>
      </c>
      <c r="F19" s="351" t="s">
        <v>778</v>
      </c>
      <c r="G19" s="353">
        <v>42736</v>
      </c>
      <c r="H19" s="246" t="s">
        <v>60</v>
      </c>
      <c r="I19" s="354">
        <v>1400</v>
      </c>
      <c r="J19" s="792"/>
    </row>
    <row r="20" spans="1:10" ht="15" customHeight="1" x14ac:dyDescent="0.25">
      <c r="A20" s="793">
        <v>218</v>
      </c>
      <c r="B20" s="791" t="s">
        <v>3799</v>
      </c>
      <c r="C20" s="243" t="s">
        <v>782</v>
      </c>
      <c r="D20" s="347" t="s">
        <v>783</v>
      </c>
      <c r="E20" s="243" t="s">
        <v>747</v>
      </c>
      <c r="F20" s="243" t="s">
        <v>784</v>
      </c>
      <c r="G20" s="245">
        <v>42736</v>
      </c>
      <c r="H20" s="356" t="s">
        <v>749</v>
      </c>
      <c r="I20" s="349">
        <v>68.025000000000006</v>
      </c>
      <c r="J20" s="792">
        <v>45.3125</v>
      </c>
    </row>
    <row r="21" spans="1:10" x14ac:dyDescent="0.25">
      <c r="A21" s="793"/>
      <c r="B21" s="791"/>
      <c r="C21" s="243" t="s">
        <v>785</v>
      </c>
      <c r="D21" s="347" t="s">
        <v>786</v>
      </c>
      <c r="E21" s="243">
        <v>36273030</v>
      </c>
      <c r="F21" s="243" t="s">
        <v>787</v>
      </c>
      <c r="G21" s="245">
        <v>42736</v>
      </c>
      <c r="H21" s="356" t="s">
        <v>749</v>
      </c>
      <c r="I21" s="349">
        <v>45.3125</v>
      </c>
      <c r="J21" s="792"/>
    </row>
    <row r="22" spans="1:10" x14ac:dyDescent="0.25">
      <c r="A22" s="793"/>
      <c r="B22" s="791"/>
      <c r="C22" s="243" t="s">
        <v>788</v>
      </c>
      <c r="D22" s="347" t="s">
        <v>751</v>
      </c>
      <c r="E22" s="243">
        <v>36159000</v>
      </c>
      <c r="F22" s="243" t="s">
        <v>789</v>
      </c>
      <c r="G22" s="245">
        <v>42736</v>
      </c>
      <c r="H22" s="356" t="s">
        <v>749</v>
      </c>
      <c r="I22" s="349">
        <v>27.803124999999998</v>
      </c>
      <c r="J22" s="792"/>
    </row>
    <row r="23" spans="1:10" ht="15" customHeight="1" x14ac:dyDescent="0.25">
      <c r="A23" s="793">
        <v>216</v>
      </c>
      <c r="B23" s="791" t="s">
        <v>3800</v>
      </c>
      <c r="C23" s="243" t="s">
        <v>782</v>
      </c>
      <c r="D23" s="347" t="s">
        <v>783</v>
      </c>
      <c r="E23" s="243" t="s">
        <v>747</v>
      </c>
      <c r="F23" s="243" t="s">
        <v>784</v>
      </c>
      <c r="G23" s="245">
        <v>42736</v>
      </c>
      <c r="H23" s="356" t="s">
        <v>749</v>
      </c>
      <c r="I23" s="247">
        <v>100.340625</v>
      </c>
      <c r="J23" s="792">
        <v>39.528124999999996</v>
      </c>
    </row>
    <row r="24" spans="1:10" x14ac:dyDescent="0.25">
      <c r="A24" s="793"/>
      <c r="B24" s="791"/>
      <c r="C24" s="243" t="s">
        <v>785</v>
      </c>
      <c r="D24" s="347" t="s">
        <v>786</v>
      </c>
      <c r="E24" s="243">
        <v>36273030</v>
      </c>
      <c r="F24" s="243" t="s">
        <v>787</v>
      </c>
      <c r="G24" s="245">
        <v>42736</v>
      </c>
      <c r="H24" s="356" t="s">
        <v>749</v>
      </c>
      <c r="I24" s="247">
        <v>30.759375000000002</v>
      </c>
      <c r="J24" s="792"/>
    </row>
    <row r="25" spans="1:10" x14ac:dyDescent="0.25">
      <c r="A25" s="793"/>
      <c r="B25" s="791"/>
      <c r="C25" s="243" t="s">
        <v>788</v>
      </c>
      <c r="D25" s="347" t="s">
        <v>751</v>
      </c>
      <c r="E25" s="243">
        <v>36159000</v>
      </c>
      <c r="F25" s="243" t="s">
        <v>789</v>
      </c>
      <c r="G25" s="245">
        <v>42736</v>
      </c>
      <c r="H25" s="356" t="s">
        <v>749</v>
      </c>
      <c r="I25" s="247">
        <v>39.528124999999996</v>
      </c>
      <c r="J25" s="792"/>
    </row>
    <row r="26" spans="1:10" ht="15" customHeight="1" x14ac:dyDescent="0.25">
      <c r="A26" s="793">
        <v>217</v>
      </c>
      <c r="B26" s="791" t="s">
        <v>781</v>
      </c>
      <c r="C26" s="243" t="s">
        <v>782</v>
      </c>
      <c r="D26" s="347" t="s">
        <v>783</v>
      </c>
      <c r="E26" s="243" t="s">
        <v>747</v>
      </c>
      <c r="F26" s="243" t="s">
        <v>784</v>
      </c>
      <c r="G26" s="245">
        <v>42736</v>
      </c>
      <c r="H26" s="356" t="s">
        <v>749</v>
      </c>
      <c r="I26" s="247">
        <v>43.412500000000001</v>
      </c>
      <c r="J26" s="792">
        <v>37.131249999999994</v>
      </c>
    </row>
    <row r="27" spans="1:10" x14ac:dyDescent="0.25">
      <c r="A27" s="793"/>
      <c r="B27" s="791"/>
      <c r="C27" s="243" t="s">
        <v>785</v>
      </c>
      <c r="D27" s="347" t="s">
        <v>786</v>
      </c>
      <c r="E27" s="243">
        <v>36273030</v>
      </c>
      <c r="F27" s="243" t="s">
        <v>787</v>
      </c>
      <c r="G27" s="245">
        <v>42736</v>
      </c>
      <c r="H27" s="356" t="s">
        <v>749</v>
      </c>
      <c r="I27" s="247">
        <v>37.131249999999994</v>
      </c>
      <c r="J27" s="792"/>
    </row>
    <row r="28" spans="1:10" x14ac:dyDescent="0.25">
      <c r="A28" s="793"/>
      <c r="B28" s="791"/>
      <c r="C28" s="243" t="s">
        <v>788</v>
      </c>
      <c r="D28" s="347" t="s">
        <v>751</v>
      </c>
      <c r="E28" s="243">
        <v>36159000</v>
      </c>
      <c r="F28" s="243" t="s">
        <v>789</v>
      </c>
      <c r="G28" s="245">
        <v>42736</v>
      </c>
      <c r="H28" s="356" t="s">
        <v>749</v>
      </c>
      <c r="I28" s="247">
        <v>34.690624999999997</v>
      </c>
      <c r="J28" s="792"/>
    </row>
    <row r="29" spans="1:10" x14ac:dyDescent="0.25">
      <c r="A29" s="793">
        <v>215</v>
      </c>
      <c r="B29" s="791" t="s">
        <v>791</v>
      </c>
      <c r="C29" s="333" t="s">
        <v>782</v>
      </c>
      <c r="D29" s="331" t="s">
        <v>783</v>
      </c>
      <c r="E29" s="333" t="s">
        <v>747</v>
      </c>
      <c r="F29" s="333" t="s">
        <v>784</v>
      </c>
      <c r="G29" s="336">
        <v>42856</v>
      </c>
      <c r="H29" s="335" t="s">
        <v>749</v>
      </c>
      <c r="I29" s="247">
        <v>53.763125000000002</v>
      </c>
      <c r="J29" s="792">
        <v>24.6875</v>
      </c>
    </row>
    <row r="30" spans="1:10" x14ac:dyDescent="0.25">
      <c r="A30" s="793"/>
      <c r="B30" s="791"/>
      <c r="C30" s="333" t="s">
        <v>792</v>
      </c>
      <c r="D30" s="331" t="s">
        <v>793</v>
      </c>
      <c r="E30" s="333">
        <v>36273030</v>
      </c>
      <c r="F30" s="333" t="s">
        <v>794</v>
      </c>
      <c r="G30" s="336">
        <v>42856</v>
      </c>
      <c r="H30" s="335" t="s">
        <v>749</v>
      </c>
      <c r="I30" s="247">
        <v>24.6875</v>
      </c>
      <c r="J30" s="792"/>
    </row>
    <row r="31" spans="1:10" x14ac:dyDescent="0.25">
      <c r="A31" s="793"/>
      <c r="B31" s="791"/>
      <c r="C31" s="333" t="s">
        <v>788</v>
      </c>
      <c r="D31" s="331" t="s">
        <v>751</v>
      </c>
      <c r="E31" s="333">
        <v>36159000</v>
      </c>
      <c r="F31" s="333" t="s">
        <v>789</v>
      </c>
      <c r="G31" s="336">
        <v>42856</v>
      </c>
      <c r="H31" s="335" t="s">
        <v>749</v>
      </c>
      <c r="I31" s="247">
        <v>23.548749999999998</v>
      </c>
      <c r="J31" s="792"/>
    </row>
    <row r="32" spans="1:10" ht="15" customHeight="1" x14ac:dyDescent="0.25">
      <c r="A32" s="793">
        <v>237</v>
      </c>
      <c r="B32" s="791" t="s">
        <v>2789</v>
      </c>
      <c r="C32" s="333" t="s">
        <v>3801</v>
      </c>
      <c r="D32" s="347"/>
      <c r="E32" s="333">
        <v>33650588</v>
      </c>
      <c r="F32" s="333" t="s">
        <v>3802</v>
      </c>
      <c r="G32" s="336">
        <v>42795</v>
      </c>
      <c r="H32" s="335" t="s">
        <v>103</v>
      </c>
      <c r="I32" s="247">
        <v>450</v>
      </c>
      <c r="J32" s="792">
        <v>322.5</v>
      </c>
    </row>
    <row r="33" spans="1:10" x14ac:dyDescent="0.25">
      <c r="A33" s="793"/>
      <c r="B33" s="791"/>
      <c r="C33" s="333" t="s">
        <v>3803</v>
      </c>
      <c r="D33" s="347"/>
      <c r="E33" s="333">
        <v>36861507</v>
      </c>
      <c r="F33" s="333" t="s">
        <v>3804</v>
      </c>
      <c r="G33" s="336">
        <v>42795</v>
      </c>
      <c r="H33" s="335" t="s">
        <v>103</v>
      </c>
      <c r="I33" s="247">
        <v>195</v>
      </c>
      <c r="J33" s="792"/>
    </row>
    <row r="34" spans="1:10" x14ac:dyDescent="0.25">
      <c r="A34" s="793"/>
      <c r="B34" s="791"/>
      <c r="C34" s="243"/>
      <c r="D34" s="347"/>
      <c r="E34" s="243"/>
      <c r="F34" s="243"/>
      <c r="G34" s="336">
        <v>42795</v>
      </c>
      <c r="H34" s="356"/>
      <c r="I34" s="247"/>
      <c r="J34" s="792"/>
    </row>
    <row r="35" spans="1:10" ht="15" customHeight="1" x14ac:dyDescent="0.25">
      <c r="A35" s="793">
        <v>126</v>
      </c>
      <c r="B35" s="791" t="s">
        <v>795</v>
      </c>
      <c r="C35" s="333" t="s">
        <v>796</v>
      </c>
      <c r="D35" s="331" t="s">
        <v>797</v>
      </c>
      <c r="E35" s="333" t="s">
        <v>798</v>
      </c>
      <c r="F35" s="333" t="s">
        <v>799</v>
      </c>
      <c r="G35" s="357">
        <v>42767</v>
      </c>
      <c r="H35" s="335" t="s">
        <v>61</v>
      </c>
      <c r="I35" s="247">
        <v>420</v>
      </c>
      <c r="J35" s="792">
        <v>455</v>
      </c>
    </row>
    <row r="36" spans="1:10" x14ac:dyDescent="0.25">
      <c r="A36" s="793"/>
      <c r="B36" s="791"/>
      <c r="C36" s="333" t="s">
        <v>800</v>
      </c>
      <c r="D36" s="331" t="s">
        <v>801</v>
      </c>
      <c r="E36" s="333" t="s">
        <v>802</v>
      </c>
      <c r="F36" s="333" t="s">
        <v>803</v>
      </c>
      <c r="G36" s="357">
        <v>42767</v>
      </c>
      <c r="H36" s="335" t="s">
        <v>61</v>
      </c>
      <c r="I36" s="247">
        <v>455</v>
      </c>
      <c r="J36" s="792"/>
    </row>
    <row r="37" spans="1:10" x14ac:dyDescent="0.25">
      <c r="A37" s="793"/>
      <c r="B37" s="791"/>
      <c r="C37" s="333" t="s">
        <v>804</v>
      </c>
      <c r="D37" s="331" t="s">
        <v>805</v>
      </c>
      <c r="E37" s="333" t="s">
        <v>806</v>
      </c>
      <c r="F37" s="333"/>
      <c r="G37" s="357">
        <v>42767</v>
      </c>
      <c r="H37" s="335" t="s">
        <v>61</v>
      </c>
      <c r="I37" s="247">
        <v>480</v>
      </c>
      <c r="J37" s="792"/>
    </row>
    <row r="38" spans="1:10" ht="15" customHeight="1" x14ac:dyDescent="0.25">
      <c r="A38" s="793">
        <v>208</v>
      </c>
      <c r="B38" s="791" t="s">
        <v>3805</v>
      </c>
      <c r="C38" s="333" t="s">
        <v>796</v>
      </c>
      <c r="D38" s="331" t="s">
        <v>797</v>
      </c>
      <c r="E38" s="333" t="s">
        <v>798</v>
      </c>
      <c r="F38" s="333" t="s">
        <v>799</v>
      </c>
      <c r="G38" s="357">
        <v>42767</v>
      </c>
      <c r="H38" s="335" t="s">
        <v>61</v>
      </c>
      <c r="I38" s="247">
        <v>420</v>
      </c>
      <c r="J38" s="792">
        <v>455</v>
      </c>
    </row>
    <row r="39" spans="1:10" x14ac:dyDescent="0.25">
      <c r="A39" s="793"/>
      <c r="B39" s="791"/>
      <c r="C39" s="333" t="s">
        <v>800</v>
      </c>
      <c r="D39" s="331" t="s">
        <v>801</v>
      </c>
      <c r="E39" s="333" t="s">
        <v>802</v>
      </c>
      <c r="F39" s="333" t="s">
        <v>803</v>
      </c>
      <c r="G39" s="357">
        <v>42767</v>
      </c>
      <c r="H39" s="335" t="s">
        <v>61</v>
      </c>
      <c r="I39" s="247">
        <v>455</v>
      </c>
      <c r="J39" s="792"/>
    </row>
    <row r="40" spans="1:10" x14ac:dyDescent="0.25">
      <c r="A40" s="793"/>
      <c r="B40" s="791"/>
      <c r="C40" s="333" t="s">
        <v>804</v>
      </c>
      <c r="D40" s="331" t="s">
        <v>805</v>
      </c>
      <c r="E40" s="333" t="s">
        <v>806</v>
      </c>
      <c r="F40" s="333"/>
      <c r="G40" s="357">
        <v>42767</v>
      </c>
      <c r="H40" s="335" t="s">
        <v>61</v>
      </c>
      <c r="I40" s="247">
        <v>480</v>
      </c>
      <c r="J40" s="792"/>
    </row>
    <row r="41" spans="1:10" x14ac:dyDescent="0.25">
      <c r="A41" s="793">
        <v>281</v>
      </c>
      <c r="B41" s="791" t="s">
        <v>2791</v>
      </c>
      <c r="C41" s="333" t="s">
        <v>3806</v>
      </c>
      <c r="D41" s="331"/>
      <c r="E41" s="333" t="s">
        <v>3807</v>
      </c>
      <c r="F41" s="333" t="s">
        <v>3808</v>
      </c>
      <c r="G41" s="336">
        <v>42826</v>
      </c>
      <c r="H41" s="335" t="s">
        <v>103</v>
      </c>
      <c r="I41" s="358">
        <v>280</v>
      </c>
      <c r="J41" s="792">
        <v>280</v>
      </c>
    </row>
    <row r="42" spans="1:10" x14ac:dyDescent="0.25">
      <c r="A42" s="793"/>
      <c r="B42" s="791"/>
      <c r="C42" s="333" t="s">
        <v>3809</v>
      </c>
      <c r="D42" s="331" t="s">
        <v>777</v>
      </c>
      <c r="E42" s="333" t="s">
        <v>3810</v>
      </c>
      <c r="F42" s="333"/>
      <c r="G42" s="336">
        <v>42826</v>
      </c>
      <c r="H42" s="335" t="s">
        <v>103</v>
      </c>
      <c r="I42" s="358">
        <v>280</v>
      </c>
      <c r="J42" s="792"/>
    </row>
    <row r="43" spans="1:10" x14ac:dyDescent="0.25">
      <c r="A43" s="793"/>
      <c r="B43" s="791"/>
      <c r="C43" s="333" t="s">
        <v>3811</v>
      </c>
      <c r="D43" s="331" t="s">
        <v>767</v>
      </c>
      <c r="E43" s="333" t="s">
        <v>768</v>
      </c>
      <c r="F43" s="333"/>
      <c r="G43" s="336">
        <v>42826</v>
      </c>
      <c r="H43" s="335" t="s">
        <v>103</v>
      </c>
      <c r="I43" s="358">
        <v>390</v>
      </c>
      <c r="J43" s="792"/>
    </row>
    <row r="44" spans="1:10" ht="15" customHeight="1" x14ac:dyDescent="0.25">
      <c r="A44" s="793">
        <v>231</v>
      </c>
      <c r="B44" s="791" t="s">
        <v>3812</v>
      </c>
      <c r="C44" s="333" t="s">
        <v>3813</v>
      </c>
      <c r="D44" s="331"/>
      <c r="E44" s="333" t="s">
        <v>3814</v>
      </c>
      <c r="F44" s="333"/>
      <c r="G44" s="336">
        <v>42795</v>
      </c>
      <c r="H44" s="335" t="s">
        <v>103</v>
      </c>
      <c r="I44" s="358">
        <v>40.68</v>
      </c>
      <c r="J44" s="792">
        <v>41.95</v>
      </c>
    </row>
    <row r="45" spans="1:10" x14ac:dyDescent="0.25">
      <c r="A45" s="793"/>
      <c r="B45" s="791"/>
      <c r="C45" s="333" t="s">
        <v>3815</v>
      </c>
      <c r="D45" s="331" t="s">
        <v>3816</v>
      </c>
      <c r="E45" s="333" t="s">
        <v>3817</v>
      </c>
      <c r="F45" s="333"/>
      <c r="G45" s="336">
        <v>42826</v>
      </c>
      <c r="H45" s="335" t="s">
        <v>103</v>
      </c>
      <c r="I45" s="358">
        <v>42</v>
      </c>
      <c r="J45" s="792"/>
    </row>
    <row r="46" spans="1:10" x14ac:dyDescent="0.25">
      <c r="A46" s="793"/>
      <c r="B46" s="791"/>
      <c r="C46" s="333" t="s">
        <v>3818</v>
      </c>
      <c r="D46" s="331"/>
      <c r="E46" s="333" t="s">
        <v>3819</v>
      </c>
      <c r="F46" s="333" t="s">
        <v>3820</v>
      </c>
      <c r="G46" s="336">
        <v>42856</v>
      </c>
      <c r="H46" s="335" t="s">
        <v>103</v>
      </c>
      <c r="I46" s="358">
        <v>41.95</v>
      </c>
      <c r="J46" s="792"/>
    </row>
    <row r="47" spans="1:10" x14ac:dyDescent="0.25">
      <c r="A47" s="793">
        <v>202</v>
      </c>
      <c r="B47" s="791" t="s">
        <v>3821</v>
      </c>
      <c r="C47" s="330" t="s">
        <v>3822</v>
      </c>
      <c r="D47" s="359" t="s">
        <v>3823</v>
      </c>
      <c r="E47" s="332" t="s">
        <v>3824</v>
      </c>
      <c r="F47" s="332" t="s">
        <v>3825</v>
      </c>
      <c r="G47" s="336">
        <v>42767</v>
      </c>
      <c r="H47" s="360" t="s">
        <v>60</v>
      </c>
      <c r="I47" s="358">
        <v>11700</v>
      </c>
      <c r="J47" s="792">
        <v>11300</v>
      </c>
    </row>
    <row r="48" spans="1:10" x14ac:dyDescent="0.25">
      <c r="A48" s="793"/>
      <c r="B48" s="791"/>
      <c r="C48" s="330" t="s">
        <v>3826</v>
      </c>
      <c r="D48" s="359"/>
      <c r="E48" s="332" t="s">
        <v>3827</v>
      </c>
      <c r="F48" s="332" t="s">
        <v>3828</v>
      </c>
      <c r="G48" s="336">
        <v>42767</v>
      </c>
      <c r="H48" s="360" t="s">
        <v>60</v>
      </c>
      <c r="I48" s="358">
        <v>5450</v>
      </c>
      <c r="J48" s="792"/>
    </row>
    <row r="49" spans="1:10" x14ac:dyDescent="0.25">
      <c r="A49" s="793"/>
      <c r="B49" s="791"/>
      <c r="C49" s="330" t="s">
        <v>3829</v>
      </c>
      <c r="D49" s="359" t="s">
        <v>3830</v>
      </c>
      <c r="E49" s="332" t="s">
        <v>3831</v>
      </c>
      <c r="F49" s="332" t="s">
        <v>3832</v>
      </c>
      <c r="G49" s="336">
        <v>42767</v>
      </c>
      <c r="H49" s="360" t="s">
        <v>60</v>
      </c>
      <c r="I49" s="358">
        <v>11300</v>
      </c>
      <c r="J49" s="792"/>
    </row>
    <row r="50" spans="1:10" ht="15" customHeight="1" x14ac:dyDescent="0.25">
      <c r="A50" s="793">
        <v>219</v>
      </c>
      <c r="B50" s="791" t="s">
        <v>813</v>
      </c>
      <c r="C50" s="333" t="s">
        <v>814</v>
      </c>
      <c r="D50" s="331" t="s">
        <v>815</v>
      </c>
      <c r="E50" s="333">
        <v>33141000</v>
      </c>
      <c r="F50" s="333" t="s">
        <v>816</v>
      </c>
      <c r="G50" s="361">
        <v>42802</v>
      </c>
      <c r="H50" s="335" t="s">
        <v>60</v>
      </c>
      <c r="I50" s="247">
        <v>454.61</v>
      </c>
      <c r="J50" s="792">
        <v>496.02</v>
      </c>
    </row>
    <row r="51" spans="1:10" x14ac:dyDescent="0.25">
      <c r="A51" s="793"/>
      <c r="B51" s="791"/>
      <c r="C51" s="333" t="s">
        <v>817</v>
      </c>
      <c r="D51" s="331" t="s">
        <v>818</v>
      </c>
      <c r="E51" s="333">
        <v>36175000</v>
      </c>
      <c r="F51" s="333" t="s">
        <v>819</v>
      </c>
      <c r="G51" s="361">
        <v>42802</v>
      </c>
      <c r="H51" s="335" t="s">
        <v>60</v>
      </c>
      <c r="I51" s="247">
        <v>496.02</v>
      </c>
      <c r="J51" s="792"/>
    </row>
    <row r="52" spans="1:10" x14ac:dyDescent="0.25">
      <c r="A52" s="793"/>
      <c r="B52" s="791"/>
      <c r="C52" s="333" t="s">
        <v>820</v>
      </c>
      <c r="D52" s="331" t="s">
        <v>821</v>
      </c>
      <c r="E52" s="333" t="s">
        <v>822</v>
      </c>
      <c r="F52" s="333" t="s">
        <v>823</v>
      </c>
      <c r="G52" s="361">
        <v>42802</v>
      </c>
      <c r="H52" s="335" t="s">
        <v>60</v>
      </c>
      <c r="I52" s="247">
        <v>498.85</v>
      </c>
      <c r="J52" s="792"/>
    </row>
    <row r="53" spans="1:10" x14ac:dyDescent="0.25">
      <c r="A53" s="793">
        <v>235</v>
      </c>
      <c r="B53" s="791" t="s">
        <v>3833</v>
      </c>
      <c r="C53" s="330" t="s">
        <v>3822</v>
      </c>
      <c r="D53" s="359" t="s">
        <v>3823</v>
      </c>
      <c r="E53" s="332" t="s">
        <v>3824</v>
      </c>
      <c r="F53" s="332" t="s">
        <v>3825</v>
      </c>
      <c r="G53" s="336">
        <v>42767</v>
      </c>
      <c r="H53" s="360" t="s">
        <v>60</v>
      </c>
      <c r="I53" s="358">
        <v>16900</v>
      </c>
      <c r="J53" s="792">
        <v>16900</v>
      </c>
    </row>
    <row r="54" spans="1:10" x14ac:dyDescent="0.25">
      <c r="A54" s="793"/>
      <c r="B54" s="791"/>
      <c r="C54" s="330" t="s">
        <v>3826</v>
      </c>
      <c r="D54" s="359"/>
      <c r="E54" s="332" t="s">
        <v>3827</v>
      </c>
      <c r="F54" s="332" t="s">
        <v>3828</v>
      </c>
      <c r="G54" s="336">
        <v>42767</v>
      </c>
      <c r="H54" s="360" t="s">
        <v>60</v>
      </c>
      <c r="I54" s="358">
        <v>9450</v>
      </c>
      <c r="J54" s="792"/>
    </row>
    <row r="55" spans="1:10" x14ac:dyDescent="0.25">
      <c r="A55" s="793"/>
      <c r="B55" s="791"/>
      <c r="C55" s="330" t="s">
        <v>3829</v>
      </c>
      <c r="D55" s="359" t="s">
        <v>3830</v>
      </c>
      <c r="E55" s="332" t="s">
        <v>3831</v>
      </c>
      <c r="F55" s="332" t="s">
        <v>3832</v>
      </c>
      <c r="G55" s="336">
        <v>42767</v>
      </c>
      <c r="H55" s="360" t="s">
        <v>60</v>
      </c>
      <c r="I55" s="358">
        <v>17250</v>
      </c>
      <c r="J55" s="792"/>
    </row>
    <row r="56" spans="1:10" x14ac:dyDescent="0.25">
      <c r="A56" s="793">
        <v>229</v>
      </c>
      <c r="B56" s="791" t="s">
        <v>825</v>
      </c>
      <c r="C56" s="333" t="s">
        <v>826</v>
      </c>
      <c r="D56" s="331" t="s">
        <v>827</v>
      </c>
      <c r="E56" s="333">
        <v>30283000</v>
      </c>
      <c r="F56" s="333" t="s">
        <v>828</v>
      </c>
      <c r="G56" s="336">
        <v>42795</v>
      </c>
      <c r="H56" s="335" t="s">
        <v>60</v>
      </c>
      <c r="I56" s="247">
        <v>69.900000000000006</v>
      </c>
      <c r="J56" s="792">
        <v>83.1</v>
      </c>
    </row>
    <row r="57" spans="1:10" x14ac:dyDescent="0.25">
      <c r="A57" s="793"/>
      <c r="B57" s="791"/>
      <c r="C57" s="330" t="s">
        <v>814</v>
      </c>
      <c r="D57" s="359" t="s">
        <v>815</v>
      </c>
      <c r="E57" s="332">
        <v>33141000</v>
      </c>
      <c r="F57" s="332" t="s">
        <v>816</v>
      </c>
      <c r="G57" s="336">
        <v>42795</v>
      </c>
      <c r="H57" s="360" t="s">
        <v>60</v>
      </c>
      <c r="I57" s="358">
        <v>93.94</v>
      </c>
      <c r="J57" s="792"/>
    </row>
    <row r="58" spans="1:10" x14ac:dyDescent="0.25">
      <c r="A58" s="793"/>
      <c r="B58" s="791"/>
      <c r="C58" s="330" t="s">
        <v>817</v>
      </c>
      <c r="D58" s="359" t="s">
        <v>818</v>
      </c>
      <c r="E58" s="332">
        <v>36175000</v>
      </c>
      <c r="F58" s="332" t="s">
        <v>829</v>
      </c>
      <c r="G58" s="336">
        <v>42795</v>
      </c>
      <c r="H58" s="360" t="s">
        <v>60</v>
      </c>
      <c r="I58" s="358">
        <v>83.1</v>
      </c>
      <c r="J58" s="792"/>
    </row>
    <row r="59" spans="1:10" x14ac:dyDescent="0.25">
      <c r="A59" s="793">
        <v>55</v>
      </c>
      <c r="B59" s="791" t="s">
        <v>830</v>
      </c>
      <c r="C59" s="362" t="s">
        <v>831</v>
      </c>
      <c r="D59" s="363" t="s">
        <v>821</v>
      </c>
      <c r="E59" s="362">
        <v>33175000</v>
      </c>
      <c r="F59" s="362" t="s">
        <v>823</v>
      </c>
      <c r="G59" s="334">
        <v>42795</v>
      </c>
      <c r="H59" s="364" t="s">
        <v>60</v>
      </c>
      <c r="I59" s="355">
        <v>395.17</v>
      </c>
      <c r="J59" s="792">
        <v>455.89</v>
      </c>
    </row>
    <row r="60" spans="1:10" x14ac:dyDescent="0.25">
      <c r="A60" s="793"/>
      <c r="B60" s="791"/>
      <c r="C60" s="365" t="s">
        <v>814</v>
      </c>
      <c r="D60" s="366" t="s">
        <v>815</v>
      </c>
      <c r="E60" s="367">
        <v>33141000</v>
      </c>
      <c r="F60" s="367" t="s">
        <v>816</v>
      </c>
      <c r="G60" s="334">
        <v>42795</v>
      </c>
      <c r="H60" s="368" t="s">
        <v>60</v>
      </c>
      <c r="I60" s="369">
        <v>455.89</v>
      </c>
      <c r="J60" s="792"/>
    </row>
    <row r="61" spans="1:10" x14ac:dyDescent="0.25">
      <c r="A61" s="793"/>
      <c r="B61" s="791"/>
      <c r="C61" s="365" t="s">
        <v>817</v>
      </c>
      <c r="D61" s="366" t="s">
        <v>818</v>
      </c>
      <c r="E61" s="367">
        <v>36175000</v>
      </c>
      <c r="F61" s="367" t="s">
        <v>829</v>
      </c>
      <c r="G61" s="334">
        <v>42795</v>
      </c>
      <c r="H61" s="368" t="s">
        <v>60</v>
      </c>
      <c r="I61" s="369">
        <v>488.74</v>
      </c>
      <c r="J61" s="792"/>
    </row>
    <row r="62" spans="1:10" x14ac:dyDescent="0.25">
      <c r="A62" s="793">
        <v>242</v>
      </c>
      <c r="B62" s="791" t="s">
        <v>3834</v>
      </c>
      <c r="C62" s="333" t="s">
        <v>832</v>
      </c>
      <c r="D62" s="331" t="s">
        <v>833</v>
      </c>
      <c r="E62" s="333">
        <v>34392016</v>
      </c>
      <c r="F62" s="333" t="s">
        <v>834</v>
      </c>
      <c r="G62" s="336">
        <v>42736</v>
      </c>
      <c r="H62" s="335" t="s">
        <v>60</v>
      </c>
      <c r="I62" s="370">
        <v>2195</v>
      </c>
      <c r="J62" s="792">
        <v>2430.8200000000002</v>
      </c>
    </row>
    <row r="63" spans="1:10" x14ac:dyDescent="0.25">
      <c r="A63" s="793"/>
      <c r="B63" s="791"/>
      <c r="C63" s="333" t="s">
        <v>835</v>
      </c>
      <c r="D63" s="331" t="s">
        <v>836</v>
      </c>
      <c r="E63" s="333">
        <v>36824971</v>
      </c>
      <c r="F63" s="333" t="s">
        <v>837</v>
      </c>
      <c r="G63" s="336">
        <v>42767</v>
      </c>
      <c r="H63" s="335" t="s">
        <v>60</v>
      </c>
      <c r="I63" s="370">
        <v>2493.7600000000002</v>
      </c>
      <c r="J63" s="792"/>
    </row>
    <row r="64" spans="1:10" x14ac:dyDescent="0.25">
      <c r="A64" s="793"/>
      <c r="B64" s="791"/>
      <c r="C64" s="333" t="s">
        <v>838</v>
      </c>
      <c r="D64" s="331" t="s">
        <v>839</v>
      </c>
      <c r="E64" s="333">
        <v>36342266</v>
      </c>
      <c r="F64" s="333" t="s">
        <v>840</v>
      </c>
      <c r="G64" s="336">
        <v>42767</v>
      </c>
      <c r="H64" s="335" t="s">
        <v>60</v>
      </c>
      <c r="I64" s="370">
        <v>2430.8200000000002</v>
      </c>
      <c r="J64" s="792"/>
    </row>
    <row r="65" spans="1:10" ht="15" customHeight="1" x14ac:dyDescent="0.25">
      <c r="A65" s="793">
        <v>70</v>
      </c>
      <c r="B65" s="791" t="s">
        <v>841</v>
      </c>
      <c r="C65" s="333" t="s">
        <v>807</v>
      </c>
      <c r="D65" s="331" t="s">
        <v>808</v>
      </c>
      <c r="E65" s="333" t="s">
        <v>809</v>
      </c>
      <c r="F65" s="333" t="s">
        <v>842</v>
      </c>
      <c r="G65" s="336">
        <v>42767</v>
      </c>
      <c r="H65" s="335" t="s">
        <v>60</v>
      </c>
      <c r="I65" s="247">
        <v>4100</v>
      </c>
      <c r="J65" s="792">
        <v>4100</v>
      </c>
    </row>
    <row r="66" spans="1:10" x14ac:dyDescent="0.25">
      <c r="A66" s="793"/>
      <c r="B66" s="791"/>
      <c r="C66" s="333" t="s">
        <v>810</v>
      </c>
      <c r="D66" s="331" t="s">
        <v>811</v>
      </c>
      <c r="E66" s="333" t="s">
        <v>812</v>
      </c>
      <c r="F66" s="333"/>
      <c r="G66" s="336">
        <v>42767</v>
      </c>
      <c r="H66" s="335" t="s">
        <v>60</v>
      </c>
      <c r="I66" s="247">
        <v>5370</v>
      </c>
      <c r="J66" s="792"/>
    </row>
    <row r="67" spans="1:10" x14ac:dyDescent="0.25">
      <c r="A67" s="793"/>
      <c r="B67" s="791"/>
      <c r="C67" s="333" t="s">
        <v>843</v>
      </c>
      <c r="D67" s="331" t="s">
        <v>844</v>
      </c>
      <c r="E67" s="333" t="s">
        <v>768</v>
      </c>
      <c r="F67" s="333"/>
      <c r="G67" s="336">
        <v>42767</v>
      </c>
      <c r="H67" s="335" t="s">
        <v>60</v>
      </c>
      <c r="I67" s="247">
        <v>3386</v>
      </c>
      <c r="J67" s="792"/>
    </row>
    <row r="68" spans="1:10" ht="15" customHeight="1" x14ac:dyDescent="0.25">
      <c r="A68" s="793">
        <v>282</v>
      </c>
      <c r="B68" s="791" t="s">
        <v>3835</v>
      </c>
      <c r="C68" s="333" t="s">
        <v>3836</v>
      </c>
      <c r="D68" s="331" t="s">
        <v>824</v>
      </c>
      <c r="E68" s="333">
        <v>36824971</v>
      </c>
      <c r="F68" s="333" t="s">
        <v>3837</v>
      </c>
      <c r="G68" s="336">
        <v>42767</v>
      </c>
      <c r="H68" s="335" t="s">
        <v>60</v>
      </c>
      <c r="I68" s="247">
        <v>3700</v>
      </c>
      <c r="J68" s="792">
        <v>3900</v>
      </c>
    </row>
    <row r="69" spans="1:10" x14ac:dyDescent="0.25">
      <c r="A69" s="793"/>
      <c r="B69" s="791"/>
      <c r="C69" s="333" t="s">
        <v>3838</v>
      </c>
      <c r="D69" s="331" t="s">
        <v>3839</v>
      </c>
      <c r="E69" s="333">
        <v>36824971</v>
      </c>
      <c r="F69" s="333" t="s">
        <v>3840</v>
      </c>
      <c r="G69" s="336">
        <v>42767</v>
      </c>
      <c r="H69" s="335" t="s">
        <v>60</v>
      </c>
      <c r="I69" s="247">
        <v>4520</v>
      </c>
      <c r="J69" s="792"/>
    </row>
    <row r="70" spans="1:10" x14ac:dyDescent="0.25">
      <c r="A70" s="793"/>
      <c r="B70" s="791"/>
      <c r="C70" s="333" t="s">
        <v>3841</v>
      </c>
      <c r="D70" s="331" t="s">
        <v>808</v>
      </c>
      <c r="E70" s="333">
        <v>36852027</v>
      </c>
      <c r="F70" s="333" t="s">
        <v>3842</v>
      </c>
      <c r="G70" s="336">
        <v>42767</v>
      </c>
      <c r="H70" s="335" t="s">
        <v>60</v>
      </c>
      <c r="I70" s="247">
        <v>3900</v>
      </c>
      <c r="J70" s="792"/>
    </row>
    <row r="71" spans="1:10" x14ac:dyDescent="0.25">
      <c r="A71" s="793">
        <v>283</v>
      </c>
      <c r="B71" s="791" t="s">
        <v>3843</v>
      </c>
      <c r="C71" s="333" t="s">
        <v>3836</v>
      </c>
      <c r="D71" s="331" t="s">
        <v>824</v>
      </c>
      <c r="E71" s="333">
        <v>36824971</v>
      </c>
      <c r="F71" s="333" t="s">
        <v>3837</v>
      </c>
      <c r="G71" s="336">
        <v>42767</v>
      </c>
      <c r="H71" s="335" t="s">
        <v>60</v>
      </c>
      <c r="I71" s="247">
        <v>2360</v>
      </c>
      <c r="J71" s="792">
        <v>2400</v>
      </c>
    </row>
    <row r="72" spans="1:10" x14ac:dyDescent="0.25">
      <c r="A72" s="793"/>
      <c r="B72" s="791"/>
      <c r="C72" s="333" t="s">
        <v>3838</v>
      </c>
      <c r="D72" s="331" t="s">
        <v>3839</v>
      </c>
      <c r="E72" s="333">
        <v>36824971</v>
      </c>
      <c r="F72" s="333" t="s">
        <v>3840</v>
      </c>
      <c r="G72" s="336">
        <v>42767</v>
      </c>
      <c r="H72" s="335" t="s">
        <v>60</v>
      </c>
      <c r="I72" s="247">
        <v>2650</v>
      </c>
      <c r="J72" s="792"/>
    </row>
    <row r="73" spans="1:10" x14ac:dyDescent="0.25">
      <c r="A73" s="793"/>
      <c r="B73" s="791"/>
      <c r="C73" s="333" t="s">
        <v>3841</v>
      </c>
      <c r="D73" s="331" t="s">
        <v>808</v>
      </c>
      <c r="E73" s="333">
        <v>36852027</v>
      </c>
      <c r="F73" s="333" t="s">
        <v>3842</v>
      </c>
      <c r="G73" s="336">
        <v>42767</v>
      </c>
      <c r="H73" s="335" t="s">
        <v>60</v>
      </c>
      <c r="I73" s="247">
        <v>2400</v>
      </c>
      <c r="J73" s="792"/>
    </row>
    <row r="74" spans="1:10" x14ac:dyDescent="0.25">
      <c r="A74" s="793">
        <v>230</v>
      </c>
      <c r="B74" s="791" t="s">
        <v>845</v>
      </c>
      <c r="C74" s="333" t="s">
        <v>846</v>
      </c>
      <c r="D74" s="331" t="s">
        <v>847</v>
      </c>
      <c r="E74" s="333" t="s">
        <v>848</v>
      </c>
      <c r="F74" s="333" t="s">
        <v>849</v>
      </c>
      <c r="G74" s="336">
        <v>42829</v>
      </c>
      <c r="H74" s="335" t="s">
        <v>60</v>
      </c>
      <c r="I74" s="247">
        <v>158.36000000000001</v>
      </c>
      <c r="J74" s="792">
        <v>158.36000000000001</v>
      </c>
    </row>
    <row r="75" spans="1:10" x14ac:dyDescent="0.25">
      <c r="A75" s="793"/>
      <c r="B75" s="791"/>
      <c r="C75" s="333" t="s">
        <v>850</v>
      </c>
      <c r="D75" s="331" t="s">
        <v>851</v>
      </c>
      <c r="E75" s="333" t="s">
        <v>852</v>
      </c>
      <c r="F75" s="333" t="s">
        <v>853</v>
      </c>
      <c r="G75" s="336">
        <v>42829</v>
      </c>
      <c r="H75" s="335" t="s">
        <v>60</v>
      </c>
      <c r="I75" s="247">
        <v>165.76</v>
      </c>
      <c r="J75" s="792"/>
    </row>
    <row r="76" spans="1:10" x14ac:dyDescent="0.25">
      <c r="A76" s="793"/>
      <c r="B76" s="791"/>
      <c r="C76" s="333" t="s">
        <v>854</v>
      </c>
      <c r="D76" s="331" t="s">
        <v>855</v>
      </c>
      <c r="E76" s="333">
        <v>36143509</v>
      </c>
      <c r="F76" s="333" t="s">
        <v>856</v>
      </c>
      <c r="G76" s="336">
        <v>42829</v>
      </c>
      <c r="H76" s="335" t="s">
        <v>60</v>
      </c>
      <c r="I76" s="247">
        <v>125.84</v>
      </c>
      <c r="J76" s="792"/>
    </row>
    <row r="77" spans="1:10" x14ac:dyDescent="0.25">
      <c r="A77" s="793">
        <v>138</v>
      </c>
      <c r="B77" s="791" t="s">
        <v>857</v>
      </c>
      <c r="C77" s="333" t="s">
        <v>846</v>
      </c>
      <c r="D77" s="331" t="s">
        <v>847</v>
      </c>
      <c r="E77" s="333" t="s">
        <v>848</v>
      </c>
      <c r="F77" s="333" t="s">
        <v>849</v>
      </c>
      <c r="G77" s="336">
        <v>42829</v>
      </c>
      <c r="H77" s="335" t="s">
        <v>60</v>
      </c>
      <c r="I77" s="247">
        <v>188.24</v>
      </c>
      <c r="J77" s="792">
        <v>188.24</v>
      </c>
    </row>
    <row r="78" spans="1:10" x14ac:dyDescent="0.25">
      <c r="A78" s="793"/>
      <c r="B78" s="791"/>
      <c r="C78" s="333" t="s">
        <v>850</v>
      </c>
      <c r="D78" s="331" t="s">
        <v>851</v>
      </c>
      <c r="E78" s="333" t="s">
        <v>852</v>
      </c>
      <c r="F78" s="333" t="s">
        <v>853</v>
      </c>
      <c r="G78" s="336">
        <v>42829</v>
      </c>
      <c r="H78" s="335" t="s">
        <v>60</v>
      </c>
      <c r="I78" s="247">
        <v>252.87</v>
      </c>
      <c r="J78" s="792"/>
    </row>
    <row r="79" spans="1:10" x14ac:dyDescent="0.25">
      <c r="A79" s="793"/>
      <c r="B79" s="791"/>
      <c r="C79" s="333" t="s">
        <v>854</v>
      </c>
      <c r="D79" s="331" t="s">
        <v>855</v>
      </c>
      <c r="E79" s="333">
        <v>36143509</v>
      </c>
      <c r="F79" s="333" t="s">
        <v>856</v>
      </c>
      <c r="G79" s="336">
        <v>42829</v>
      </c>
      <c r="H79" s="335" t="s">
        <v>60</v>
      </c>
      <c r="I79" s="247">
        <v>178</v>
      </c>
      <c r="J79" s="792"/>
    </row>
    <row r="80" spans="1:10" ht="15" customHeight="1" x14ac:dyDescent="0.25">
      <c r="A80" s="793">
        <v>77</v>
      </c>
      <c r="B80" s="820" t="s">
        <v>858</v>
      </c>
      <c r="C80" s="330" t="s">
        <v>859</v>
      </c>
      <c r="D80" s="359" t="s">
        <v>847</v>
      </c>
      <c r="E80" s="332" t="s">
        <v>860</v>
      </c>
      <c r="F80" s="332" t="s">
        <v>861</v>
      </c>
      <c r="G80" s="371">
        <v>42856</v>
      </c>
      <c r="H80" s="360" t="s">
        <v>60</v>
      </c>
      <c r="I80" s="358">
        <v>42.33</v>
      </c>
      <c r="J80" s="792">
        <v>36.33</v>
      </c>
    </row>
    <row r="81" spans="1:10" x14ac:dyDescent="0.25">
      <c r="A81" s="793"/>
      <c r="B81" s="820"/>
      <c r="C81" s="330" t="s">
        <v>862</v>
      </c>
      <c r="D81" s="372" t="s">
        <v>863</v>
      </c>
      <c r="E81" s="373" t="s">
        <v>864</v>
      </c>
      <c r="F81" s="373" t="s">
        <v>865</v>
      </c>
      <c r="G81" s="371">
        <v>42856</v>
      </c>
      <c r="H81" s="360" t="s">
        <v>60</v>
      </c>
      <c r="I81" s="358">
        <v>11.54</v>
      </c>
      <c r="J81" s="792"/>
    </row>
    <row r="82" spans="1:10" x14ac:dyDescent="0.25">
      <c r="A82" s="793"/>
      <c r="B82" s="820"/>
      <c r="C82" s="330" t="s">
        <v>866</v>
      </c>
      <c r="D82" s="359" t="s">
        <v>867</v>
      </c>
      <c r="E82" s="332" t="s">
        <v>868</v>
      </c>
      <c r="F82" s="332" t="s">
        <v>869</v>
      </c>
      <c r="G82" s="371">
        <v>42887</v>
      </c>
      <c r="H82" s="360" t="s">
        <v>60</v>
      </c>
      <c r="I82" s="358">
        <v>36.33</v>
      </c>
      <c r="J82" s="792"/>
    </row>
    <row r="83" spans="1:10" x14ac:dyDescent="0.25">
      <c r="A83" s="793">
        <v>78</v>
      </c>
      <c r="B83" s="791" t="s">
        <v>870</v>
      </c>
      <c r="C83" s="330" t="s">
        <v>859</v>
      </c>
      <c r="D83" s="359" t="s">
        <v>847</v>
      </c>
      <c r="E83" s="332" t="s">
        <v>860</v>
      </c>
      <c r="F83" s="332" t="s">
        <v>861</v>
      </c>
      <c r="G83" s="371">
        <v>42856</v>
      </c>
      <c r="H83" s="360" t="s">
        <v>60</v>
      </c>
      <c r="I83" s="358">
        <v>42.33</v>
      </c>
      <c r="J83" s="792">
        <v>36.4</v>
      </c>
    </row>
    <row r="84" spans="1:10" x14ac:dyDescent="0.25">
      <c r="A84" s="793"/>
      <c r="B84" s="791"/>
      <c r="C84" s="330" t="s">
        <v>862</v>
      </c>
      <c r="D84" s="372" t="s">
        <v>863</v>
      </c>
      <c r="E84" s="373" t="s">
        <v>864</v>
      </c>
      <c r="F84" s="373" t="s">
        <v>865</v>
      </c>
      <c r="G84" s="371">
        <v>42856</v>
      </c>
      <c r="H84" s="360" t="s">
        <v>60</v>
      </c>
      <c r="I84" s="358">
        <v>11.54</v>
      </c>
      <c r="J84" s="792"/>
    </row>
    <row r="85" spans="1:10" x14ac:dyDescent="0.25">
      <c r="A85" s="793"/>
      <c r="B85" s="791"/>
      <c r="C85" s="330" t="s">
        <v>866</v>
      </c>
      <c r="D85" s="359" t="s">
        <v>867</v>
      </c>
      <c r="E85" s="332" t="s">
        <v>868</v>
      </c>
      <c r="F85" s="332" t="s">
        <v>869</v>
      </c>
      <c r="G85" s="371">
        <v>42887</v>
      </c>
      <c r="H85" s="360" t="s">
        <v>60</v>
      </c>
      <c r="I85" s="358">
        <v>36.4</v>
      </c>
      <c r="J85" s="792"/>
    </row>
    <row r="86" spans="1:10" ht="15" customHeight="1" x14ac:dyDescent="0.25">
      <c r="A86" s="812">
        <v>462</v>
      </c>
      <c r="B86" s="813" t="s">
        <v>3844</v>
      </c>
      <c r="C86" s="243" t="s">
        <v>859</v>
      </c>
      <c r="D86" s="244" t="s">
        <v>847</v>
      </c>
      <c r="E86" s="243" t="s">
        <v>860</v>
      </c>
      <c r="F86" s="243" t="s">
        <v>861</v>
      </c>
      <c r="G86" s="245">
        <v>42856</v>
      </c>
      <c r="H86" s="246" t="s">
        <v>60</v>
      </c>
      <c r="I86" s="247">
        <v>662.67</v>
      </c>
      <c r="J86" s="814">
        <f>MEDIAN(I86:I88)</f>
        <v>662.67</v>
      </c>
    </row>
    <row r="87" spans="1:10" ht="15" customHeight="1" x14ac:dyDescent="0.25">
      <c r="A87" s="817">
        <v>462</v>
      </c>
      <c r="B87" s="805" t="s">
        <v>3844</v>
      </c>
      <c r="C87" s="243" t="s">
        <v>859</v>
      </c>
      <c r="D87" s="244" t="s">
        <v>847</v>
      </c>
      <c r="E87" s="243" t="s">
        <v>860</v>
      </c>
      <c r="F87" s="243" t="s">
        <v>861</v>
      </c>
      <c r="G87" s="245">
        <v>42856</v>
      </c>
      <c r="H87" s="246" t="s">
        <v>60</v>
      </c>
      <c r="I87" s="247">
        <v>662.67</v>
      </c>
      <c r="J87" s="815">
        <f>MEDIAN(I87:I89)</f>
        <v>662.67</v>
      </c>
    </row>
    <row r="88" spans="1:10" x14ac:dyDescent="0.25">
      <c r="A88" s="818">
        <v>462</v>
      </c>
      <c r="B88" s="819" t="s">
        <v>3844</v>
      </c>
      <c r="C88" s="243" t="s">
        <v>859</v>
      </c>
      <c r="D88" s="244" t="s">
        <v>847</v>
      </c>
      <c r="E88" s="243" t="s">
        <v>860</v>
      </c>
      <c r="F88" s="243" t="s">
        <v>861</v>
      </c>
      <c r="G88" s="245">
        <v>42856</v>
      </c>
      <c r="H88" s="246" t="s">
        <v>60</v>
      </c>
      <c r="I88" s="247">
        <v>662.67</v>
      </c>
      <c r="J88" s="816">
        <f>MEDIAN(I88:I90)</f>
        <v>13.29</v>
      </c>
    </row>
    <row r="89" spans="1:10" ht="15" customHeight="1" x14ac:dyDescent="0.25">
      <c r="A89" s="812">
        <v>102</v>
      </c>
      <c r="B89" s="813" t="s">
        <v>3930</v>
      </c>
      <c r="C89" s="243" t="s">
        <v>871</v>
      </c>
      <c r="D89" s="244" t="s">
        <v>872</v>
      </c>
      <c r="E89" s="243" t="s">
        <v>873</v>
      </c>
      <c r="F89" s="243" t="s">
        <v>775</v>
      </c>
      <c r="G89" s="245">
        <v>42758</v>
      </c>
      <c r="H89" s="246" t="s">
        <v>60</v>
      </c>
      <c r="I89" s="247">
        <v>13.29</v>
      </c>
      <c r="J89" s="814">
        <v>13.29</v>
      </c>
    </row>
    <row r="90" spans="1:10" x14ac:dyDescent="0.25">
      <c r="A90" s="817"/>
      <c r="B90" s="805"/>
      <c r="C90" s="243" t="s">
        <v>874</v>
      </c>
      <c r="D90" s="244" t="s">
        <v>875</v>
      </c>
      <c r="E90" s="243" t="s">
        <v>876</v>
      </c>
      <c r="F90" s="243" t="s">
        <v>877</v>
      </c>
      <c r="G90" s="245">
        <v>42758</v>
      </c>
      <c r="H90" s="246" t="s">
        <v>60</v>
      </c>
      <c r="I90" s="247">
        <v>11.36</v>
      </c>
      <c r="J90" s="815"/>
    </row>
    <row r="91" spans="1:10" x14ac:dyDescent="0.25">
      <c r="A91" s="818"/>
      <c r="B91" s="819"/>
      <c r="C91" s="243" t="s">
        <v>846</v>
      </c>
      <c r="D91" s="244" t="s">
        <v>847</v>
      </c>
      <c r="E91" s="243" t="s">
        <v>848</v>
      </c>
      <c r="F91" s="243" t="s">
        <v>849</v>
      </c>
      <c r="G91" s="245">
        <v>42758</v>
      </c>
      <c r="H91" s="246" t="s">
        <v>60</v>
      </c>
      <c r="I91" s="247">
        <v>19.059999999999999</v>
      </c>
      <c r="J91" s="816"/>
    </row>
    <row r="92" spans="1:10" ht="15" customHeight="1" x14ac:dyDescent="0.25">
      <c r="A92" s="812">
        <v>264</v>
      </c>
      <c r="B92" s="813" t="s">
        <v>2016</v>
      </c>
      <c r="C92" s="243" t="s">
        <v>871</v>
      </c>
      <c r="D92" s="244" t="s">
        <v>872</v>
      </c>
      <c r="E92" s="243" t="s">
        <v>873</v>
      </c>
      <c r="F92" s="243" t="s">
        <v>775</v>
      </c>
      <c r="G92" s="245">
        <v>42758</v>
      </c>
      <c r="H92" s="246" t="s">
        <v>60</v>
      </c>
      <c r="I92" s="247">
        <v>27.33</v>
      </c>
      <c r="J92" s="814">
        <v>27.33</v>
      </c>
    </row>
    <row r="93" spans="1:10" x14ac:dyDescent="0.25">
      <c r="A93" s="817"/>
      <c r="B93" s="805"/>
      <c r="C93" s="243" t="s">
        <v>874</v>
      </c>
      <c r="D93" s="244" t="s">
        <v>875</v>
      </c>
      <c r="E93" s="243" t="s">
        <v>876</v>
      </c>
      <c r="F93" s="243" t="s">
        <v>877</v>
      </c>
      <c r="G93" s="245">
        <v>42758</v>
      </c>
      <c r="H93" s="246" t="s">
        <v>60</v>
      </c>
      <c r="I93" s="247">
        <v>21.03</v>
      </c>
      <c r="J93" s="815"/>
    </row>
    <row r="94" spans="1:10" x14ac:dyDescent="0.25">
      <c r="A94" s="818"/>
      <c r="B94" s="819"/>
      <c r="C94" s="243" t="s">
        <v>846</v>
      </c>
      <c r="D94" s="244" t="s">
        <v>847</v>
      </c>
      <c r="E94" s="243" t="s">
        <v>848</v>
      </c>
      <c r="F94" s="243" t="s">
        <v>849</v>
      </c>
      <c r="G94" s="245">
        <v>42758</v>
      </c>
      <c r="H94" s="246" t="s">
        <v>60</v>
      </c>
      <c r="I94" s="247">
        <v>31.55</v>
      </c>
      <c r="J94" s="816"/>
    </row>
    <row r="95" spans="1:10" ht="15" customHeight="1" x14ac:dyDescent="0.25">
      <c r="A95" s="793">
        <v>101</v>
      </c>
      <c r="B95" s="791" t="s">
        <v>878</v>
      </c>
      <c r="C95" s="330" t="s">
        <v>871</v>
      </c>
      <c r="D95" s="331" t="s">
        <v>872</v>
      </c>
      <c r="E95" s="332" t="s">
        <v>873</v>
      </c>
      <c r="F95" s="332" t="s">
        <v>775</v>
      </c>
      <c r="G95" s="374">
        <v>42758</v>
      </c>
      <c r="H95" s="360" t="s">
        <v>60</v>
      </c>
      <c r="I95" s="358">
        <v>17.989999999999998</v>
      </c>
      <c r="J95" s="792">
        <v>14.43</v>
      </c>
    </row>
    <row r="96" spans="1:10" x14ac:dyDescent="0.25">
      <c r="A96" s="793"/>
      <c r="B96" s="791"/>
      <c r="C96" s="333" t="s">
        <v>874</v>
      </c>
      <c r="D96" s="331" t="s">
        <v>875</v>
      </c>
      <c r="E96" s="333" t="s">
        <v>876</v>
      </c>
      <c r="F96" s="332" t="s">
        <v>877</v>
      </c>
      <c r="G96" s="374">
        <v>42758</v>
      </c>
      <c r="H96" s="360" t="s">
        <v>60</v>
      </c>
      <c r="I96" s="358">
        <v>13.03</v>
      </c>
      <c r="J96" s="792"/>
    </row>
    <row r="97" spans="1:10" x14ac:dyDescent="0.25">
      <c r="A97" s="793"/>
      <c r="B97" s="791"/>
      <c r="C97" s="333" t="s">
        <v>846</v>
      </c>
      <c r="D97" s="331" t="s">
        <v>847</v>
      </c>
      <c r="E97" s="333" t="s">
        <v>848</v>
      </c>
      <c r="F97" s="373" t="s">
        <v>849</v>
      </c>
      <c r="G97" s="374">
        <v>42758</v>
      </c>
      <c r="H97" s="360" t="s">
        <v>60</v>
      </c>
      <c r="I97" s="358">
        <v>14.43</v>
      </c>
      <c r="J97" s="792"/>
    </row>
    <row r="98" spans="1:10" ht="15" customHeight="1" x14ac:dyDescent="0.25">
      <c r="A98" s="793">
        <v>112</v>
      </c>
      <c r="B98" s="791" t="s">
        <v>879</v>
      </c>
      <c r="C98" s="330" t="s">
        <v>871</v>
      </c>
      <c r="D98" s="331" t="s">
        <v>872</v>
      </c>
      <c r="E98" s="332" t="s">
        <v>873</v>
      </c>
      <c r="F98" s="332" t="s">
        <v>775</v>
      </c>
      <c r="G98" s="374">
        <v>42758</v>
      </c>
      <c r="H98" s="360" t="s">
        <v>60</v>
      </c>
      <c r="I98" s="358">
        <v>11.01</v>
      </c>
      <c r="J98" s="792">
        <v>8.15</v>
      </c>
    </row>
    <row r="99" spans="1:10" x14ac:dyDescent="0.25">
      <c r="A99" s="793"/>
      <c r="B99" s="791"/>
      <c r="C99" s="333" t="s">
        <v>874</v>
      </c>
      <c r="D99" s="331" t="s">
        <v>875</v>
      </c>
      <c r="E99" s="333" t="s">
        <v>876</v>
      </c>
      <c r="F99" s="332" t="s">
        <v>877</v>
      </c>
      <c r="G99" s="374">
        <v>42758</v>
      </c>
      <c r="H99" s="360" t="s">
        <v>60</v>
      </c>
      <c r="I99" s="358">
        <v>6.68</v>
      </c>
      <c r="J99" s="792"/>
    </row>
    <row r="100" spans="1:10" x14ac:dyDescent="0.25">
      <c r="A100" s="793"/>
      <c r="B100" s="791"/>
      <c r="C100" s="333" t="s">
        <v>846</v>
      </c>
      <c r="D100" s="331" t="s">
        <v>847</v>
      </c>
      <c r="E100" s="333" t="s">
        <v>848</v>
      </c>
      <c r="F100" s="373" t="s">
        <v>849</v>
      </c>
      <c r="G100" s="374">
        <v>42758</v>
      </c>
      <c r="H100" s="360" t="s">
        <v>60</v>
      </c>
      <c r="I100" s="358">
        <v>8.15</v>
      </c>
      <c r="J100" s="792"/>
    </row>
    <row r="101" spans="1:10" x14ac:dyDescent="0.25">
      <c r="A101" s="793">
        <v>107</v>
      </c>
      <c r="B101" s="791" t="s">
        <v>880</v>
      </c>
      <c r="C101" s="330" t="s">
        <v>871</v>
      </c>
      <c r="D101" s="331" t="s">
        <v>872</v>
      </c>
      <c r="E101" s="332" t="s">
        <v>873</v>
      </c>
      <c r="F101" s="332" t="s">
        <v>775</v>
      </c>
      <c r="G101" s="374">
        <v>42758</v>
      </c>
      <c r="H101" s="360" t="s">
        <v>60</v>
      </c>
      <c r="I101" s="358">
        <v>318.47000000000003</v>
      </c>
      <c r="J101" s="792">
        <v>307.27</v>
      </c>
    </row>
    <row r="102" spans="1:10" x14ac:dyDescent="0.25">
      <c r="A102" s="793"/>
      <c r="B102" s="791"/>
      <c r="C102" s="333" t="s">
        <v>846</v>
      </c>
      <c r="D102" s="331" t="s">
        <v>847</v>
      </c>
      <c r="E102" s="333" t="s">
        <v>848</v>
      </c>
      <c r="F102" s="373" t="s">
        <v>849</v>
      </c>
      <c r="G102" s="374">
        <v>42758</v>
      </c>
      <c r="H102" s="360" t="s">
        <v>60</v>
      </c>
      <c r="I102" s="358">
        <v>296.07</v>
      </c>
      <c r="J102" s="792"/>
    </row>
    <row r="103" spans="1:10" x14ac:dyDescent="0.25">
      <c r="A103" s="793"/>
      <c r="B103" s="791"/>
      <c r="C103" s="362"/>
      <c r="D103" s="363"/>
      <c r="E103" s="362"/>
      <c r="F103" s="362"/>
      <c r="G103" s="334"/>
      <c r="H103" s="364"/>
      <c r="I103" s="355"/>
      <c r="J103" s="792"/>
    </row>
    <row r="104" spans="1:10" x14ac:dyDescent="0.25">
      <c r="A104" s="793">
        <v>199</v>
      </c>
      <c r="B104" s="791" t="s">
        <v>887</v>
      </c>
      <c r="C104" s="332" t="s">
        <v>881</v>
      </c>
      <c r="D104" s="359" t="s">
        <v>882</v>
      </c>
      <c r="E104" s="332">
        <v>30291234</v>
      </c>
      <c r="F104" s="332" t="s">
        <v>883</v>
      </c>
      <c r="G104" s="375">
        <v>42821</v>
      </c>
      <c r="H104" s="360" t="s">
        <v>60</v>
      </c>
      <c r="I104" s="358">
        <v>796.5</v>
      </c>
      <c r="J104" s="792">
        <v>1314.28</v>
      </c>
    </row>
    <row r="105" spans="1:10" x14ac:dyDescent="0.25">
      <c r="A105" s="793"/>
      <c r="B105" s="791"/>
      <c r="C105" s="373" t="s">
        <v>888</v>
      </c>
      <c r="D105" s="372" t="s">
        <v>889</v>
      </c>
      <c r="E105" s="373">
        <v>30256848</v>
      </c>
      <c r="F105" s="373" t="s">
        <v>890</v>
      </c>
      <c r="G105" s="375">
        <v>42821</v>
      </c>
      <c r="H105" s="360" t="s">
        <v>60</v>
      </c>
      <c r="I105" s="358">
        <v>1390</v>
      </c>
      <c r="J105" s="792"/>
    </row>
    <row r="106" spans="1:10" x14ac:dyDescent="0.25">
      <c r="A106" s="793"/>
      <c r="B106" s="791"/>
      <c r="C106" s="332" t="s">
        <v>884</v>
      </c>
      <c r="D106" s="359" t="s">
        <v>885</v>
      </c>
      <c r="E106" s="332">
        <v>21276585</v>
      </c>
      <c r="F106" s="332" t="s">
        <v>886</v>
      </c>
      <c r="G106" s="375">
        <v>42821</v>
      </c>
      <c r="H106" s="360" t="s">
        <v>60</v>
      </c>
      <c r="I106" s="358">
        <v>1314.28</v>
      </c>
      <c r="J106" s="792"/>
    </row>
    <row r="107" spans="1:10" ht="15" customHeight="1" x14ac:dyDescent="0.25">
      <c r="A107" s="793">
        <v>73</v>
      </c>
      <c r="B107" s="791" t="s">
        <v>891</v>
      </c>
      <c r="C107" s="332" t="s">
        <v>892</v>
      </c>
      <c r="D107" s="359" t="s">
        <v>872</v>
      </c>
      <c r="E107" s="332">
        <v>33210009</v>
      </c>
      <c r="F107" s="332" t="s">
        <v>893</v>
      </c>
      <c r="G107" s="374">
        <v>42736</v>
      </c>
      <c r="H107" s="360" t="s">
        <v>60</v>
      </c>
      <c r="I107" s="358">
        <v>58.93</v>
      </c>
      <c r="J107" s="792">
        <v>58.93</v>
      </c>
    </row>
    <row r="108" spans="1:10" x14ac:dyDescent="0.25">
      <c r="A108" s="793"/>
      <c r="B108" s="791"/>
      <c r="C108" s="373" t="s">
        <v>894</v>
      </c>
      <c r="D108" s="372" t="s">
        <v>895</v>
      </c>
      <c r="E108" s="373" t="s">
        <v>896</v>
      </c>
      <c r="F108" s="373" t="s">
        <v>897</v>
      </c>
      <c r="G108" s="374">
        <v>42767</v>
      </c>
      <c r="H108" s="360" t="s">
        <v>60</v>
      </c>
      <c r="I108" s="358">
        <v>37.19</v>
      </c>
      <c r="J108" s="792"/>
    </row>
    <row r="109" spans="1:10" x14ac:dyDescent="0.25">
      <c r="A109" s="793"/>
      <c r="B109" s="791"/>
      <c r="C109" s="332" t="s">
        <v>790</v>
      </c>
      <c r="D109" s="359" t="s">
        <v>735</v>
      </c>
      <c r="E109" s="332">
        <v>21276585</v>
      </c>
      <c r="F109" s="332" t="s">
        <v>886</v>
      </c>
      <c r="G109" s="374">
        <v>42781</v>
      </c>
      <c r="H109" s="360" t="s">
        <v>60</v>
      </c>
      <c r="I109" s="358">
        <v>66.849999999999994</v>
      </c>
      <c r="J109" s="792"/>
    </row>
    <row r="110" spans="1:10" x14ac:dyDescent="0.25">
      <c r="A110" s="793">
        <v>266</v>
      </c>
      <c r="B110" s="791" t="s">
        <v>898</v>
      </c>
      <c r="C110" s="333" t="s">
        <v>899</v>
      </c>
      <c r="D110" s="331" t="s">
        <v>851</v>
      </c>
      <c r="E110" s="333" t="s">
        <v>852</v>
      </c>
      <c r="F110" s="332" t="s">
        <v>900</v>
      </c>
      <c r="G110" s="374">
        <v>42795</v>
      </c>
      <c r="H110" s="360" t="s">
        <v>60</v>
      </c>
      <c r="I110" s="358">
        <v>13.58</v>
      </c>
      <c r="J110" s="810">
        <v>13.58</v>
      </c>
    </row>
    <row r="111" spans="1:10" x14ac:dyDescent="0.25">
      <c r="A111" s="793"/>
      <c r="B111" s="791"/>
      <c r="C111" s="333" t="s">
        <v>901</v>
      </c>
      <c r="D111" s="331" t="s">
        <v>902</v>
      </c>
      <c r="E111" s="333" t="s">
        <v>876</v>
      </c>
      <c r="F111" s="333" t="s">
        <v>903</v>
      </c>
      <c r="G111" s="374">
        <v>42795</v>
      </c>
      <c r="H111" s="376" t="s">
        <v>60</v>
      </c>
      <c r="I111" s="247">
        <v>10.48</v>
      </c>
      <c r="J111" s="810"/>
    </row>
    <row r="112" spans="1:10" x14ac:dyDescent="0.25">
      <c r="A112" s="793"/>
      <c r="B112" s="791"/>
      <c r="C112" s="333" t="s">
        <v>904</v>
      </c>
      <c r="D112" s="331" t="s">
        <v>872</v>
      </c>
      <c r="E112" s="333">
        <v>36342266</v>
      </c>
      <c r="F112" s="333" t="s">
        <v>893</v>
      </c>
      <c r="G112" s="371">
        <v>42795</v>
      </c>
      <c r="H112" s="376" t="s">
        <v>60</v>
      </c>
      <c r="I112" s="247">
        <v>13.69</v>
      </c>
      <c r="J112" s="810"/>
    </row>
    <row r="113" spans="1:10" x14ac:dyDescent="0.25">
      <c r="A113" s="793">
        <v>267</v>
      </c>
      <c r="B113" s="791" t="s">
        <v>3678</v>
      </c>
      <c r="C113" s="333" t="s">
        <v>899</v>
      </c>
      <c r="D113" s="331" t="s">
        <v>851</v>
      </c>
      <c r="E113" s="333" t="s">
        <v>852</v>
      </c>
      <c r="F113" s="332" t="s">
        <v>900</v>
      </c>
      <c r="G113" s="374">
        <v>42795</v>
      </c>
      <c r="H113" s="360" t="s">
        <v>60</v>
      </c>
      <c r="I113" s="358">
        <v>1.57</v>
      </c>
      <c r="J113" s="810">
        <v>1.52</v>
      </c>
    </row>
    <row r="114" spans="1:10" x14ac:dyDescent="0.25">
      <c r="A114" s="793"/>
      <c r="B114" s="791"/>
      <c r="C114" s="333" t="s">
        <v>901</v>
      </c>
      <c r="D114" s="331" t="s">
        <v>902</v>
      </c>
      <c r="E114" s="333" t="s">
        <v>876</v>
      </c>
      <c r="F114" s="333" t="s">
        <v>903</v>
      </c>
      <c r="G114" s="374">
        <v>42795</v>
      </c>
      <c r="H114" s="376" t="s">
        <v>60</v>
      </c>
      <c r="I114" s="247">
        <v>0.89</v>
      </c>
      <c r="J114" s="810"/>
    </row>
    <row r="115" spans="1:10" x14ac:dyDescent="0.25">
      <c r="A115" s="793"/>
      <c r="B115" s="791"/>
      <c r="C115" s="333" t="s">
        <v>904</v>
      </c>
      <c r="D115" s="331" t="s">
        <v>872</v>
      </c>
      <c r="E115" s="333">
        <v>36342266</v>
      </c>
      <c r="F115" s="333" t="s">
        <v>893</v>
      </c>
      <c r="G115" s="371">
        <v>42795</v>
      </c>
      <c r="H115" s="376" t="s">
        <v>60</v>
      </c>
      <c r="I115" s="247">
        <v>1.52</v>
      </c>
      <c r="J115" s="810"/>
    </row>
    <row r="116" spans="1:10" ht="15" customHeight="1" x14ac:dyDescent="0.25">
      <c r="A116" s="793">
        <v>269</v>
      </c>
      <c r="B116" s="791" t="s">
        <v>3845</v>
      </c>
      <c r="C116" s="333" t="s">
        <v>899</v>
      </c>
      <c r="D116" s="331" t="s">
        <v>851</v>
      </c>
      <c r="E116" s="333" t="s">
        <v>852</v>
      </c>
      <c r="F116" s="332" t="s">
        <v>900</v>
      </c>
      <c r="G116" s="374">
        <v>42795</v>
      </c>
      <c r="H116" s="360" t="s">
        <v>60</v>
      </c>
      <c r="I116" s="370">
        <v>2.63</v>
      </c>
      <c r="J116" s="792">
        <v>2.2400000000000002</v>
      </c>
    </row>
    <row r="117" spans="1:10" x14ac:dyDescent="0.25">
      <c r="A117" s="793"/>
      <c r="B117" s="791"/>
      <c r="C117" s="333" t="s">
        <v>901</v>
      </c>
      <c r="D117" s="331" t="s">
        <v>902</v>
      </c>
      <c r="E117" s="333" t="s">
        <v>876</v>
      </c>
      <c r="F117" s="333" t="s">
        <v>903</v>
      </c>
      <c r="G117" s="374">
        <v>42795</v>
      </c>
      <c r="H117" s="376" t="s">
        <v>60</v>
      </c>
      <c r="I117" s="370">
        <v>1.33</v>
      </c>
      <c r="J117" s="792"/>
    </row>
    <row r="118" spans="1:10" x14ac:dyDescent="0.25">
      <c r="A118" s="793"/>
      <c r="B118" s="791"/>
      <c r="C118" s="333" t="s">
        <v>904</v>
      </c>
      <c r="D118" s="331" t="s">
        <v>872</v>
      </c>
      <c r="E118" s="333">
        <v>36342266</v>
      </c>
      <c r="F118" s="333" t="s">
        <v>893</v>
      </c>
      <c r="G118" s="371">
        <v>42795</v>
      </c>
      <c r="H118" s="376" t="s">
        <v>60</v>
      </c>
      <c r="I118" s="370">
        <v>2.2400000000000002</v>
      </c>
      <c r="J118" s="792"/>
    </row>
    <row r="119" spans="1:10" ht="15" customHeight="1" x14ac:dyDescent="0.25">
      <c r="A119" s="793">
        <v>59</v>
      </c>
      <c r="B119" s="791" t="s">
        <v>3846</v>
      </c>
      <c r="C119" s="377" t="s">
        <v>908</v>
      </c>
      <c r="D119" s="378" t="s">
        <v>909</v>
      </c>
      <c r="E119" s="379" t="s">
        <v>910</v>
      </c>
      <c r="F119" s="379" t="s">
        <v>911</v>
      </c>
      <c r="G119" s="374">
        <v>42736</v>
      </c>
      <c r="H119" s="335" t="s">
        <v>60</v>
      </c>
      <c r="I119" s="247">
        <v>4.7</v>
      </c>
      <c r="J119" s="792">
        <v>6.56</v>
      </c>
    </row>
    <row r="120" spans="1:10" x14ac:dyDescent="0.25">
      <c r="A120" s="793"/>
      <c r="B120" s="791"/>
      <c r="C120" s="377" t="s">
        <v>3847</v>
      </c>
      <c r="D120" s="378" t="s">
        <v>847</v>
      </c>
      <c r="E120" s="379" t="s">
        <v>848</v>
      </c>
      <c r="F120" s="379" t="s">
        <v>3848</v>
      </c>
      <c r="G120" s="374">
        <v>42736</v>
      </c>
      <c r="H120" s="335" t="s">
        <v>60</v>
      </c>
      <c r="I120" s="247">
        <v>6.56</v>
      </c>
      <c r="J120" s="792"/>
    </row>
    <row r="121" spans="1:10" x14ac:dyDescent="0.25">
      <c r="A121" s="793"/>
      <c r="B121" s="791"/>
      <c r="C121" s="377" t="s">
        <v>905</v>
      </c>
      <c r="D121" s="378" t="s">
        <v>906</v>
      </c>
      <c r="E121" s="379" t="s">
        <v>860</v>
      </c>
      <c r="F121" s="379" t="s">
        <v>907</v>
      </c>
      <c r="G121" s="374">
        <v>42736</v>
      </c>
      <c r="H121" s="335" t="s">
        <v>60</v>
      </c>
      <c r="I121" s="247">
        <v>6.67</v>
      </c>
      <c r="J121" s="792"/>
    </row>
    <row r="122" spans="1:10" ht="15" customHeight="1" x14ac:dyDescent="0.25">
      <c r="A122" s="793">
        <v>63</v>
      </c>
      <c r="B122" s="791" t="s">
        <v>3849</v>
      </c>
      <c r="C122" s="377" t="s">
        <v>908</v>
      </c>
      <c r="D122" s="378" t="s">
        <v>909</v>
      </c>
      <c r="E122" s="379" t="s">
        <v>910</v>
      </c>
      <c r="F122" s="379" t="s">
        <v>911</v>
      </c>
      <c r="G122" s="374">
        <v>42736</v>
      </c>
      <c r="H122" s="335" t="s">
        <v>60</v>
      </c>
      <c r="I122" s="247">
        <v>18</v>
      </c>
      <c r="J122" s="814">
        <v>18.489999999999998</v>
      </c>
    </row>
    <row r="123" spans="1:10" x14ac:dyDescent="0.25">
      <c r="A123" s="793"/>
      <c r="B123" s="791"/>
      <c r="C123" s="377" t="s">
        <v>3847</v>
      </c>
      <c r="D123" s="378" t="s">
        <v>847</v>
      </c>
      <c r="E123" s="379" t="s">
        <v>848</v>
      </c>
      <c r="F123" s="379" t="s">
        <v>3848</v>
      </c>
      <c r="G123" s="374" t="s">
        <v>3850</v>
      </c>
      <c r="H123" s="335" t="s">
        <v>60</v>
      </c>
      <c r="I123" s="247">
        <v>18.87</v>
      </c>
      <c r="J123" s="815"/>
    </row>
    <row r="124" spans="1:10" x14ac:dyDescent="0.25">
      <c r="A124" s="793"/>
      <c r="B124" s="791"/>
      <c r="C124" s="377" t="s">
        <v>905</v>
      </c>
      <c r="D124" s="378" t="s">
        <v>906</v>
      </c>
      <c r="E124" s="379" t="s">
        <v>860</v>
      </c>
      <c r="F124" s="379" t="s">
        <v>907</v>
      </c>
      <c r="G124" s="374" t="s">
        <v>3850</v>
      </c>
      <c r="H124" s="335" t="s">
        <v>60</v>
      </c>
      <c r="I124" s="247">
        <v>18.489999999999998</v>
      </c>
      <c r="J124" s="816"/>
    </row>
    <row r="125" spans="1:10" ht="15" customHeight="1" x14ac:dyDescent="0.25">
      <c r="A125" s="793">
        <v>66</v>
      </c>
      <c r="B125" s="791" t="s">
        <v>3851</v>
      </c>
      <c r="C125" s="377" t="s">
        <v>908</v>
      </c>
      <c r="D125" s="378" t="s">
        <v>909</v>
      </c>
      <c r="E125" s="379" t="s">
        <v>910</v>
      </c>
      <c r="F125" s="379" t="s">
        <v>911</v>
      </c>
      <c r="G125" s="374" t="s">
        <v>3850</v>
      </c>
      <c r="H125" s="335" t="s">
        <v>60</v>
      </c>
      <c r="I125" s="247">
        <v>0.45</v>
      </c>
      <c r="J125" s="792">
        <v>0.65</v>
      </c>
    </row>
    <row r="126" spans="1:10" x14ac:dyDescent="0.25">
      <c r="A126" s="793"/>
      <c r="B126" s="791"/>
      <c r="C126" s="377" t="s">
        <v>3847</v>
      </c>
      <c r="D126" s="378" t="s">
        <v>847</v>
      </c>
      <c r="E126" s="379" t="s">
        <v>848</v>
      </c>
      <c r="F126" s="379" t="s">
        <v>3848</v>
      </c>
      <c r="G126" s="374" t="s">
        <v>3850</v>
      </c>
      <c r="H126" s="335" t="s">
        <v>60</v>
      </c>
      <c r="I126" s="247">
        <v>0.65</v>
      </c>
      <c r="J126" s="792"/>
    </row>
    <row r="127" spans="1:10" x14ac:dyDescent="0.25">
      <c r="A127" s="793"/>
      <c r="B127" s="791"/>
      <c r="C127" s="377" t="s">
        <v>905</v>
      </c>
      <c r="D127" s="378" t="s">
        <v>906</v>
      </c>
      <c r="E127" s="379" t="s">
        <v>860</v>
      </c>
      <c r="F127" s="379" t="s">
        <v>907</v>
      </c>
      <c r="G127" s="374" t="s">
        <v>3850</v>
      </c>
      <c r="H127" s="335" t="s">
        <v>60</v>
      </c>
      <c r="I127" s="247">
        <v>0.67</v>
      </c>
      <c r="J127" s="792"/>
    </row>
    <row r="128" spans="1:10" ht="15" customHeight="1" x14ac:dyDescent="0.25">
      <c r="A128" s="793">
        <v>82</v>
      </c>
      <c r="B128" s="791" t="s">
        <v>3852</v>
      </c>
      <c r="C128" s="377" t="s">
        <v>908</v>
      </c>
      <c r="D128" s="378" t="s">
        <v>909</v>
      </c>
      <c r="E128" s="379" t="s">
        <v>910</v>
      </c>
      <c r="F128" s="379" t="s">
        <v>911</v>
      </c>
      <c r="G128" s="374" t="s">
        <v>3850</v>
      </c>
      <c r="H128" s="335" t="s">
        <v>60</v>
      </c>
      <c r="I128" s="247">
        <v>18.5</v>
      </c>
      <c r="J128" s="792">
        <v>22.06</v>
      </c>
    </row>
    <row r="129" spans="1:10" x14ac:dyDescent="0.25">
      <c r="A129" s="793"/>
      <c r="B129" s="791"/>
      <c r="C129" s="377" t="s">
        <v>3847</v>
      </c>
      <c r="D129" s="378" t="s">
        <v>847</v>
      </c>
      <c r="E129" s="379" t="s">
        <v>848</v>
      </c>
      <c r="F129" s="379" t="s">
        <v>3848</v>
      </c>
      <c r="G129" s="374" t="s">
        <v>3850</v>
      </c>
      <c r="H129" s="335" t="s">
        <v>60</v>
      </c>
      <c r="I129" s="247">
        <v>23.14</v>
      </c>
      <c r="J129" s="792"/>
    </row>
    <row r="130" spans="1:10" x14ac:dyDescent="0.25">
      <c r="A130" s="793"/>
      <c r="B130" s="791"/>
      <c r="C130" s="377" t="s">
        <v>905</v>
      </c>
      <c r="D130" s="378" t="s">
        <v>906</v>
      </c>
      <c r="E130" s="379" t="s">
        <v>860</v>
      </c>
      <c r="F130" s="379" t="s">
        <v>907</v>
      </c>
      <c r="G130" s="374" t="s">
        <v>3850</v>
      </c>
      <c r="H130" s="335" t="s">
        <v>60</v>
      </c>
      <c r="I130" s="247">
        <v>22.06</v>
      </c>
      <c r="J130" s="792"/>
    </row>
    <row r="131" spans="1:10" ht="15" customHeight="1" x14ac:dyDescent="0.25">
      <c r="A131" s="793">
        <v>100</v>
      </c>
      <c r="B131" s="791" t="s">
        <v>3853</v>
      </c>
      <c r="C131" s="377" t="s">
        <v>908</v>
      </c>
      <c r="D131" s="378" t="s">
        <v>909</v>
      </c>
      <c r="E131" s="379" t="s">
        <v>910</v>
      </c>
      <c r="F131" s="379" t="s">
        <v>911</v>
      </c>
      <c r="G131" s="374" t="s">
        <v>3850</v>
      </c>
      <c r="H131" s="335" t="s">
        <v>60</v>
      </c>
      <c r="I131" s="247">
        <v>10.9</v>
      </c>
      <c r="J131" s="792">
        <v>10.9</v>
      </c>
    </row>
    <row r="132" spans="1:10" x14ac:dyDescent="0.25">
      <c r="A132" s="793"/>
      <c r="B132" s="791"/>
      <c r="C132" s="377" t="s">
        <v>3847</v>
      </c>
      <c r="D132" s="378" t="s">
        <v>847</v>
      </c>
      <c r="E132" s="379" t="s">
        <v>848</v>
      </c>
      <c r="F132" s="379" t="s">
        <v>3848</v>
      </c>
      <c r="G132" s="374" t="s">
        <v>3850</v>
      </c>
      <c r="H132" s="335" t="s">
        <v>60</v>
      </c>
      <c r="I132" s="247">
        <v>10.32</v>
      </c>
      <c r="J132" s="792"/>
    </row>
    <row r="133" spans="1:10" x14ac:dyDescent="0.25">
      <c r="A133" s="793"/>
      <c r="B133" s="791"/>
      <c r="C133" s="377" t="s">
        <v>905</v>
      </c>
      <c r="D133" s="378" t="s">
        <v>906</v>
      </c>
      <c r="E133" s="379" t="s">
        <v>860</v>
      </c>
      <c r="F133" s="379" t="s">
        <v>907</v>
      </c>
      <c r="G133" s="374" t="s">
        <v>3850</v>
      </c>
      <c r="H133" s="335" t="s">
        <v>60</v>
      </c>
      <c r="I133" s="247">
        <v>11.09</v>
      </c>
      <c r="J133" s="792"/>
    </row>
    <row r="134" spans="1:10" x14ac:dyDescent="0.25">
      <c r="A134" s="793">
        <v>104</v>
      </c>
      <c r="B134" s="791" t="s">
        <v>3854</v>
      </c>
      <c r="C134" s="380" t="s">
        <v>3855</v>
      </c>
      <c r="D134" s="380" t="s">
        <v>3856</v>
      </c>
      <c r="E134" s="381" t="s">
        <v>3857</v>
      </c>
      <c r="F134" s="382" t="s">
        <v>3858</v>
      </c>
      <c r="G134" s="374" t="s">
        <v>3850</v>
      </c>
      <c r="H134" s="383" t="s">
        <v>60</v>
      </c>
      <c r="I134" s="384">
        <v>1793.97</v>
      </c>
      <c r="J134" s="792">
        <v>1364.68</v>
      </c>
    </row>
    <row r="135" spans="1:10" x14ac:dyDescent="0.25">
      <c r="A135" s="793"/>
      <c r="B135" s="791"/>
      <c r="C135" s="377" t="s">
        <v>908</v>
      </c>
      <c r="D135" s="378" t="s">
        <v>909</v>
      </c>
      <c r="E135" s="379" t="s">
        <v>910</v>
      </c>
      <c r="F135" s="379" t="s">
        <v>911</v>
      </c>
      <c r="G135" s="374" t="s">
        <v>3850</v>
      </c>
      <c r="H135" s="335" t="s">
        <v>60</v>
      </c>
      <c r="I135" s="247">
        <v>1364.68</v>
      </c>
      <c r="J135" s="792"/>
    </row>
    <row r="136" spans="1:10" x14ac:dyDescent="0.25">
      <c r="A136" s="793"/>
      <c r="B136" s="791"/>
      <c r="C136" s="377" t="s">
        <v>3847</v>
      </c>
      <c r="D136" s="378" t="s">
        <v>847</v>
      </c>
      <c r="E136" s="379" t="s">
        <v>848</v>
      </c>
      <c r="F136" s="379" t="s">
        <v>3848</v>
      </c>
      <c r="G136" s="374" t="s">
        <v>3850</v>
      </c>
      <c r="H136" s="335" t="s">
        <v>60</v>
      </c>
      <c r="I136" s="247">
        <v>1332</v>
      </c>
      <c r="J136" s="792"/>
    </row>
    <row r="137" spans="1:10" ht="15" customHeight="1" x14ac:dyDescent="0.25">
      <c r="A137" s="793">
        <v>110</v>
      </c>
      <c r="B137" s="791" t="s">
        <v>3859</v>
      </c>
      <c r="C137" s="377" t="s">
        <v>908</v>
      </c>
      <c r="D137" s="378" t="s">
        <v>909</v>
      </c>
      <c r="E137" s="379" t="s">
        <v>910</v>
      </c>
      <c r="F137" s="379" t="s">
        <v>911</v>
      </c>
      <c r="G137" s="374" t="s">
        <v>3850</v>
      </c>
      <c r="H137" s="335" t="s">
        <v>60</v>
      </c>
      <c r="I137" s="247">
        <v>26</v>
      </c>
      <c r="J137" s="792">
        <v>37</v>
      </c>
    </row>
    <row r="138" spans="1:10" x14ac:dyDescent="0.25">
      <c r="A138" s="793"/>
      <c r="B138" s="791"/>
      <c r="C138" s="377" t="s">
        <v>3847</v>
      </c>
      <c r="D138" s="378" t="s">
        <v>847</v>
      </c>
      <c r="E138" s="379" t="s">
        <v>848</v>
      </c>
      <c r="F138" s="379" t="s">
        <v>3848</v>
      </c>
      <c r="G138" s="374" t="s">
        <v>3850</v>
      </c>
      <c r="H138" s="335" t="s">
        <v>60</v>
      </c>
      <c r="I138" s="247">
        <v>37</v>
      </c>
      <c r="J138" s="792"/>
    </row>
    <row r="139" spans="1:10" x14ac:dyDescent="0.25">
      <c r="A139" s="812"/>
      <c r="B139" s="813"/>
      <c r="C139" s="385" t="s">
        <v>905</v>
      </c>
      <c r="D139" s="386" t="s">
        <v>906</v>
      </c>
      <c r="E139" s="387" t="s">
        <v>860</v>
      </c>
      <c r="F139" s="387" t="s">
        <v>907</v>
      </c>
      <c r="G139" s="374" t="s">
        <v>3850</v>
      </c>
      <c r="H139" s="388" t="s">
        <v>60</v>
      </c>
      <c r="I139" s="389">
        <v>45.6</v>
      </c>
      <c r="J139" s="814"/>
    </row>
    <row r="140" spans="1:10" ht="15" customHeight="1" x14ac:dyDescent="0.25">
      <c r="A140" s="793">
        <v>111</v>
      </c>
      <c r="B140" s="791" t="s">
        <v>3860</v>
      </c>
      <c r="C140" s="377" t="s">
        <v>908</v>
      </c>
      <c r="D140" s="378" t="s">
        <v>909</v>
      </c>
      <c r="E140" s="379" t="s">
        <v>910</v>
      </c>
      <c r="F140" s="379" t="s">
        <v>911</v>
      </c>
      <c r="G140" s="374" t="s">
        <v>3850</v>
      </c>
      <c r="H140" s="335" t="s">
        <v>60</v>
      </c>
      <c r="I140" s="247">
        <v>1</v>
      </c>
      <c r="J140" s="792">
        <v>5.56</v>
      </c>
    </row>
    <row r="141" spans="1:10" x14ac:dyDescent="0.25">
      <c r="A141" s="793"/>
      <c r="B141" s="791"/>
      <c r="C141" s="377" t="s">
        <v>3847</v>
      </c>
      <c r="D141" s="378" t="s">
        <v>847</v>
      </c>
      <c r="E141" s="379" t="s">
        <v>848</v>
      </c>
      <c r="F141" s="379" t="s">
        <v>3848</v>
      </c>
      <c r="G141" s="374" t="s">
        <v>3850</v>
      </c>
      <c r="H141" s="335" t="s">
        <v>60</v>
      </c>
      <c r="I141" s="247">
        <v>10</v>
      </c>
      <c r="J141" s="792"/>
    </row>
    <row r="142" spans="1:10" x14ac:dyDescent="0.25">
      <c r="A142" s="793"/>
      <c r="B142" s="791"/>
      <c r="C142" s="377" t="s">
        <v>905</v>
      </c>
      <c r="D142" s="378" t="s">
        <v>906</v>
      </c>
      <c r="E142" s="379" t="s">
        <v>860</v>
      </c>
      <c r="F142" s="379" t="s">
        <v>907</v>
      </c>
      <c r="G142" s="374" t="s">
        <v>3850</v>
      </c>
      <c r="H142" s="335" t="s">
        <v>60</v>
      </c>
      <c r="I142" s="247">
        <v>5.56</v>
      </c>
      <c r="J142" s="792"/>
    </row>
    <row r="143" spans="1:10" ht="15" customHeight="1" x14ac:dyDescent="0.25">
      <c r="A143" s="793">
        <v>114</v>
      </c>
      <c r="B143" s="791" t="s">
        <v>3861</v>
      </c>
      <c r="C143" s="377" t="s">
        <v>908</v>
      </c>
      <c r="D143" s="378" t="s">
        <v>909</v>
      </c>
      <c r="E143" s="379" t="s">
        <v>910</v>
      </c>
      <c r="F143" s="379" t="s">
        <v>911</v>
      </c>
      <c r="G143" s="374" t="s">
        <v>3850</v>
      </c>
      <c r="H143" s="335" t="s">
        <v>60</v>
      </c>
      <c r="I143" s="247">
        <v>219</v>
      </c>
      <c r="J143" s="792">
        <v>249.05</v>
      </c>
    </row>
    <row r="144" spans="1:10" x14ac:dyDescent="0.25">
      <c r="A144" s="793"/>
      <c r="B144" s="791"/>
      <c r="C144" s="377" t="s">
        <v>3847</v>
      </c>
      <c r="D144" s="378" t="s">
        <v>847</v>
      </c>
      <c r="E144" s="379" t="s">
        <v>848</v>
      </c>
      <c r="F144" s="379" t="s">
        <v>3848</v>
      </c>
      <c r="G144" s="374" t="s">
        <v>3850</v>
      </c>
      <c r="H144" s="335" t="s">
        <v>60</v>
      </c>
      <c r="I144" s="247">
        <v>271.95</v>
      </c>
      <c r="J144" s="792"/>
    </row>
    <row r="145" spans="1:10" x14ac:dyDescent="0.25">
      <c r="A145" s="793"/>
      <c r="B145" s="791"/>
      <c r="C145" s="377" t="s">
        <v>905</v>
      </c>
      <c r="D145" s="378" t="s">
        <v>906</v>
      </c>
      <c r="E145" s="379" t="s">
        <v>860</v>
      </c>
      <c r="F145" s="379" t="s">
        <v>907</v>
      </c>
      <c r="G145" s="374" t="s">
        <v>3850</v>
      </c>
      <c r="H145" s="335" t="s">
        <v>60</v>
      </c>
      <c r="I145" s="247">
        <v>249.05</v>
      </c>
      <c r="J145" s="792"/>
    </row>
    <row r="146" spans="1:10" ht="15" customHeight="1" x14ac:dyDescent="0.25">
      <c r="A146" s="793">
        <v>119</v>
      </c>
      <c r="B146" s="791" t="s">
        <v>3862</v>
      </c>
      <c r="C146" s="377" t="s">
        <v>908</v>
      </c>
      <c r="D146" s="378" t="s">
        <v>909</v>
      </c>
      <c r="E146" s="379" t="s">
        <v>910</v>
      </c>
      <c r="F146" s="379" t="s">
        <v>911</v>
      </c>
      <c r="G146" s="374" t="s">
        <v>3850</v>
      </c>
      <c r="H146" s="335" t="s">
        <v>60</v>
      </c>
      <c r="I146" s="247">
        <v>7.5</v>
      </c>
      <c r="J146" s="792">
        <v>12.23</v>
      </c>
    </row>
    <row r="147" spans="1:10" x14ac:dyDescent="0.25">
      <c r="A147" s="793"/>
      <c r="B147" s="791"/>
      <c r="C147" s="377" t="s">
        <v>3847</v>
      </c>
      <c r="D147" s="378" t="s">
        <v>847</v>
      </c>
      <c r="E147" s="379" t="s">
        <v>848</v>
      </c>
      <c r="F147" s="379" t="s">
        <v>3848</v>
      </c>
      <c r="G147" s="374" t="s">
        <v>3850</v>
      </c>
      <c r="H147" s="335" t="s">
        <v>60</v>
      </c>
      <c r="I147" s="247">
        <v>24.9</v>
      </c>
      <c r="J147" s="792"/>
    </row>
    <row r="148" spans="1:10" x14ac:dyDescent="0.25">
      <c r="A148" s="793"/>
      <c r="B148" s="791"/>
      <c r="C148" s="377" t="s">
        <v>905</v>
      </c>
      <c r="D148" s="378" t="s">
        <v>906</v>
      </c>
      <c r="E148" s="379" t="s">
        <v>860</v>
      </c>
      <c r="F148" s="379" t="s">
        <v>907</v>
      </c>
      <c r="G148" s="374" t="s">
        <v>3850</v>
      </c>
      <c r="H148" s="335" t="s">
        <v>60</v>
      </c>
      <c r="I148" s="247">
        <v>12.23</v>
      </c>
      <c r="J148" s="792"/>
    </row>
    <row r="149" spans="1:10" ht="15" customHeight="1" x14ac:dyDescent="0.25">
      <c r="A149" s="793">
        <v>120</v>
      </c>
      <c r="B149" s="791" t="s">
        <v>3863</v>
      </c>
      <c r="C149" s="377" t="s">
        <v>908</v>
      </c>
      <c r="D149" s="378" t="s">
        <v>909</v>
      </c>
      <c r="E149" s="379" t="s">
        <v>910</v>
      </c>
      <c r="F149" s="379" t="s">
        <v>911</v>
      </c>
      <c r="G149" s="374" t="s">
        <v>3850</v>
      </c>
      <c r="H149" s="335" t="s">
        <v>60</v>
      </c>
      <c r="I149" s="389">
        <v>3.2</v>
      </c>
      <c r="J149" s="792">
        <v>3.2</v>
      </c>
    </row>
    <row r="150" spans="1:10" x14ac:dyDescent="0.25">
      <c r="A150" s="793"/>
      <c r="B150" s="791"/>
      <c r="C150" s="377" t="s">
        <v>3847</v>
      </c>
      <c r="D150" s="378" t="s">
        <v>847</v>
      </c>
      <c r="E150" s="379" t="s">
        <v>848</v>
      </c>
      <c r="F150" s="379" t="s">
        <v>3848</v>
      </c>
      <c r="G150" s="374" t="s">
        <v>3850</v>
      </c>
      <c r="H150" s="335" t="s">
        <v>60</v>
      </c>
      <c r="I150" s="389">
        <v>2.31</v>
      </c>
      <c r="J150" s="792"/>
    </row>
    <row r="151" spans="1:10" x14ac:dyDescent="0.25">
      <c r="A151" s="793"/>
      <c r="B151" s="791"/>
      <c r="C151" s="380" t="s">
        <v>3855</v>
      </c>
      <c r="D151" s="380" t="s">
        <v>3856</v>
      </c>
      <c r="E151" s="381" t="s">
        <v>3857</v>
      </c>
      <c r="F151" s="382" t="s">
        <v>3858</v>
      </c>
      <c r="G151" s="374" t="s">
        <v>3850</v>
      </c>
      <c r="H151" s="383" t="s">
        <v>60</v>
      </c>
      <c r="I151" s="247">
        <v>4</v>
      </c>
      <c r="J151" s="792"/>
    </row>
    <row r="152" spans="1:10" ht="15" customHeight="1" x14ac:dyDescent="0.25">
      <c r="A152" s="793">
        <v>121</v>
      </c>
      <c r="B152" s="791" t="s">
        <v>3864</v>
      </c>
      <c r="C152" s="377" t="s">
        <v>908</v>
      </c>
      <c r="D152" s="378" t="s">
        <v>909</v>
      </c>
      <c r="E152" s="379" t="s">
        <v>910</v>
      </c>
      <c r="F152" s="379" t="s">
        <v>911</v>
      </c>
      <c r="G152" s="374" t="s">
        <v>3850</v>
      </c>
      <c r="H152" s="335" t="s">
        <v>60</v>
      </c>
      <c r="I152" s="247">
        <v>69</v>
      </c>
      <c r="J152" s="792">
        <v>96.49</v>
      </c>
    </row>
    <row r="153" spans="1:10" x14ac:dyDescent="0.25">
      <c r="A153" s="793"/>
      <c r="B153" s="791"/>
      <c r="C153" s="377" t="s">
        <v>3847</v>
      </c>
      <c r="D153" s="378" t="s">
        <v>847</v>
      </c>
      <c r="E153" s="379" t="s">
        <v>848</v>
      </c>
      <c r="F153" s="379" t="s">
        <v>3848</v>
      </c>
      <c r="G153" s="374" t="s">
        <v>3850</v>
      </c>
      <c r="H153" s="335" t="s">
        <v>60</v>
      </c>
      <c r="I153" s="247">
        <v>115.62</v>
      </c>
      <c r="J153" s="792"/>
    </row>
    <row r="154" spans="1:10" x14ac:dyDescent="0.25">
      <c r="A154" s="793"/>
      <c r="B154" s="791"/>
      <c r="C154" s="377" t="s">
        <v>905</v>
      </c>
      <c r="D154" s="378" t="s">
        <v>906</v>
      </c>
      <c r="E154" s="379" t="s">
        <v>860</v>
      </c>
      <c r="F154" s="379" t="s">
        <v>907</v>
      </c>
      <c r="G154" s="374" t="s">
        <v>3850</v>
      </c>
      <c r="H154" s="335" t="s">
        <v>60</v>
      </c>
      <c r="I154" s="247">
        <v>96.49</v>
      </c>
      <c r="J154" s="792"/>
    </row>
    <row r="155" spans="1:10" ht="15" customHeight="1" x14ac:dyDescent="0.25">
      <c r="A155" s="793">
        <v>129</v>
      </c>
      <c r="B155" s="791" t="s">
        <v>3865</v>
      </c>
      <c r="C155" s="377" t="s">
        <v>3866</v>
      </c>
      <c r="D155" s="378" t="s">
        <v>863</v>
      </c>
      <c r="E155" s="379" t="s">
        <v>3867</v>
      </c>
      <c r="F155" s="379" t="s">
        <v>3868</v>
      </c>
      <c r="G155" s="374" t="s">
        <v>3850</v>
      </c>
      <c r="H155" s="335" t="s">
        <v>60</v>
      </c>
      <c r="I155" s="247">
        <v>294.63</v>
      </c>
      <c r="J155" s="792">
        <v>184.37</v>
      </c>
    </row>
    <row r="156" spans="1:10" x14ac:dyDescent="0.25">
      <c r="A156" s="793"/>
      <c r="B156" s="791"/>
      <c r="C156" s="377" t="s">
        <v>874</v>
      </c>
      <c r="D156" s="378" t="s">
        <v>902</v>
      </c>
      <c r="E156" s="379" t="s">
        <v>3869</v>
      </c>
      <c r="F156" s="379" t="s">
        <v>3870</v>
      </c>
      <c r="G156" s="374" t="s">
        <v>3850</v>
      </c>
      <c r="H156" s="335" t="s">
        <v>60</v>
      </c>
      <c r="I156" s="247">
        <v>178.27</v>
      </c>
      <c r="J156" s="792"/>
    </row>
    <row r="157" spans="1:10" x14ac:dyDescent="0.25">
      <c r="A157" s="793"/>
      <c r="B157" s="791"/>
      <c r="C157" s="377" t="s">
        <v>3847</v>
      </c>
      <c r="D157" s="378" t="s">
        <v>847</v>
      </c>
      <c r="E157" s="379" t="s">
        <v>848</v>
      </c>
      <c r="F157" s="379" t="s">
        <v>849</v>
      </c>
      <c r="G157" s="374" t="s">
        <v>3850</v>
      </c>
      <c r="H157" s="335" t="s">
        <v>60</v>
      </c>
      <c r="I157" s="247">
        <v>184.37</v>
      </c>
      <c r="J157" s="792"/>
    </row>
    <row r="158" spans="1:10" ht="15" customHeight="1" x14ac:dyDescent="0.25">
      <c r="A158" s="793">
        <v>135</v>
      </c>
      <c r="B158" s="791" t="s">
        <v>3871</v>
      </c>
      <c r="C158" s="377" t="s">
        <v>908</v>
      </c>
      <c r="D158" s="378" t="s">
        <v>909</v>
      </c>
      <c r="E158" s="379" t="s">
        <v>910</v>
      </c>
      <c r="F158" s="379" t="s">
        <v>911</v>
      </c>
      <c r="G158" s="374" t="s">
        <v>3850</v>
      </c>
      <c r="H158" s="335" t="s">
        <v>60</v>
      </c>
      <c r="I158" s="247">
        <v>1.9</v>
      </c>
      <c r="J158" s="792">
        <v>1.9</v>
      </c>
    </row>
    <row r="159" spans="1:10" x14ac:dyDescent="0.25">
      <c r="A159" s="793"/>
      <c r="B159" s="791"/>
      <c r="C159" s="377" t="s">
        <v>3847</v>
      </c>
      <c r="D159" s="378" t="s">
        <v>847</v>
      </c>
      <c r="E159" s="379" t="s">
        <v>848</v>
      </c>
      <c r="F159" s="379" t="s">
        <v>3848</v>
      </c>
      <c r="G159" s="374" t="s">
        <v>3850</v>
      </c>
      <c r="H159" s="335" t="s">
        <v>60</v>
      </c>
      <c r="I159" s="247">
        <v>2.59</v>
      </c>
      <c r="J159" s="792"/>
    </row>
    <row r="160" spans="1:10" x14ac:dyDescent="0.25">
      <c r="A160" s="793"/>
      <c r="B160" s="791"/>
      <c r="C160" s="377" t="s">
        <v>905</v>
      </c>
      <c r="D160" s="378" t="s">
        <v>906</v>
      </c>
      <c r="E160" s="379" t="s">
        <v>860</v>
      </c>
      <c r="F160" s="379" t="s">
        <v>907</v>
      </c>
      <c r="G160" s="374" t="s">
        <v>3850</v>
      </c>
      <c r="H160" s="335" t="s">
        <v>60</v>
      </c>
      <c r="I160" s="247">
        <v>1.73</v>
      </c>
      <c r="J160" s="792"/>
    </row>
    <row r="161" spans="1:10" ht="15" customHeight="1" x14ac:dyDescent="0.25">
      <c r="A161" s="793">
        <v>141</v>
      </c>
      <c r="B161" s="791" t="s">
        <v>3872</v>
      </c>
      <c r="C161" s="377" t="s">
        <v>908</v>
      </c>
      <c r="D161" s="378" t="s">
        <v>909</v>
      </c>
      <c r="E161" s="379" t="s">
        <v>910</v>
      </c>
      <c r="F161" s="379" t="s">
        <v>911</v>
      </c>
      <c r="G161" s="374" t="s">
        <v>3850</v>
      </c>
      <c r="H161" s="335" t="s">
        <v>60</v>
      </c>
      <c r="I161" s="247">
        <v>15.6</v>
      </c>
      <c r="J161" s="792">
        <v>19.809999999999999</v>
      </c>
    </row>
    <row r="162" spans="1:10" x14ac:dyDescent="0.25">
      <c r="A162" s="793"/>
      <c r="B162" s="791"/>
      <c r="C162" s="377" t="s">
        <v>3847</v>
      </c>
      <c r="D162" s="378" t="s">
        <v>847</v>
      </c>
      <c r="E162" s="379" t="s">
        <v>848</v>
      </c>
      <c r="F162" s="379" t="s">
        <v>3848</v>
      </c>
      <c r="G162" s="374" t="s">
        <v>3850</v>
      </c>
      <c r="H162" s="335" t="s">
        <v>60</v>
      </c>
      <c r="I162" s="247">
        <v>34.31</v>
      </c>
      <c r="J162" s="792"/>
    </row>
    <row r="163" spans="1:10" x14ac:dyDescent="0.25">
      <c r="A163" s="793"/>
      <c r="B163" s="791"/>
      <c r="C163" s="377" t="s">
        <v>905</v>
      </c>
      <c r="D163" s="378" t="s">
        <v>906</v>
      </c>
      <c r="E163" s="379" t="s">
        <v>860</v>
      </c>
      <c r="F163" s="379" t="s">
        <v>907</v>
      </c>
      <c r="G163" s="374" t="s">
        <v>3850</v>
      </c>
      <c r="H163" s="335" t="s">
        <v>60</v>
      </c>
      <c r="I163" s="247">
        <v>19.809999999999999</v>
      </c>
      <c r="J163" s="792"/>
    </row>
    <row r="164" spans="1:10" ht="15" customHeight="1" x14ac:dyDescent="0.25">
      <c r="A164" s="793">
        <v>150</v>
      </c>
      <c r="B164" s="791" t="s">
        <v>3873</v>
      </c>
      <c r="C164" s="380" t="s">
        <v>3855</v>
      </c>
      <c r="D164" s="380" t="s">
        <v>3856</v>
      </c>
      <c r="E164" s="381" t="s">
        <v>3857</v>
      </c>
      <c r="F164" s="382" t="s">
        <v>3858</v>
      </c>
      <c r="G164" s="374" t="s">
        <v>3850</v>
      </c>
      <c r="H164" s="383" t="s">
        <v>60</v>
      </c>
      <c r="I164" s="390">
        <v>10.3</v>
      </c>
      <c r="J164" s="792">
        <v>10.18</v>
      </c>
    </row>
    <row r="165" spans="1:10" x14ac:dyDescent="0.25">
      <c r="A165" s="793"/>
      <c r="B165" s="791"/>
      <c r="C165" s="377" t="s">
        <v>908</v>
      </c>
      <c r="D165" s="378" t="s">
        <v>909</v>
      </c>
      <c r="E165" s="379" t="s">
        <v>910</v>
      </c>
      <c r="F165" s="379" t="s">
        <v>911</v>
      </c>
      <c r="G165" s="374" t="s">
        <v>3850</v>
      </c>
      <c r="H165" s="335" t="s">
        <v>60</v>
      </c>
      <c r="I165" s="247">
        <v>7.4</v>
      </c>
      <c r="J165" s="792"/>
    </row>
    <row r="166" spans="1:10" x14ac:dyDescent="0.25">
      <c r="A166" s="793"/>
      <c r="B166" s="791"/>
      <c r="C166" s="377" t="s">
        <v>3847</v>
      </c>
      <c r="D166" s="378" t="s">
        <v>847</v>
      </c>
      <c r="E166" s="379" t="s">
        <v>848</v>
      </c>
      <c r="F166" s="379" t="s">
        <v>3848</v>
      </c>
      <c r="G166" s="374" t="s">
        <v>3850</v>
      </c>
      <c r="H166" s="335" t="s">
        <v>60</v>
      </c>
      <c r="I166" s="247">
        <v>10.18</v>
      </c>
      <c r="J166" s="792"/>
    </row>
    <row r="167" spans="1:10" ht="15" customHeight="1" x14ac:dyDescent="0.25">
      <c r="A167" s="793">
        <v>152</v>
      </c>
      <c r="B167" s="791" t="s">
        <v>3874</v>
      </c>
      <c r="C167" s="377" t="s">
        <v>908</v>
      </c>
      <c r="D167" s="378" t="s">
        <v>909</v>
      </c>
      <c r="E167" s="379" t="s">
        <v>910</v>
      </c>
      <c r="F167" s="379" t="s">
        <v>911</v>
      </c>
      <c r="G167" s="374" t="s">
        <v>3850</v>
      </c>
      <c r="H167" s="335" t="s">
        <v>60</v>
      </c>
      <c r="I167" s="247">
        <v>34.5</v>
      </c>
      <c r="J167" s="792">
        <v>40.369999999999997</v>
      </c>
    </row>
    <row r="168" spans="1:10" x14ac:dyDescent="0.25">
      <c r="A168" s="793"/>
      <c r="B168" s="791"/>
      <c r="C168" s="377" t="s">
        <v>3847</v>
      </c>
      <c r="D168" s="378" t="s">
        <v>847</v>
      </c>
      <c r="E168" s="379" t="s">
        <v>848</v>
      </c>
      <c r="F168" s="379" t="s">
        <v>3848</v>
      </c>
      <c r="G168" s="374" t="s">
        <v>3850</v>
      </c>
      <c r="H168" s="335" t="s">
        <v>60</v>
      </c>
      <c r="I168" s="247">
        <v>46.71</v>
      </c>
      <c r="J168" s="792"/>
    </row>
    <row r="169" spans="1:10" x14ac:dyDescent="0.25">
      <c r="A169" s="793"/>
      <c r="B169" s="791"/>
      <c r="C169" s="377" t="s">
        <v>905</v>
      </c>
      <c r="D169" s="378" t="s">
        <v>906</v>
      </c>
      <c r="E169" s="379" t="s">
        <v>860</v>
      </c>
      <c r="F169" s="379" t="s">
        <v>907</v>
      </c>
      <c r="G169" s="374" t="s">
        <v>3850</v>
      </c>
      <c r="H169" s="335" t="s">
        <v>60</v>
      </c>
      <c r="I169" s="247">
        <v>40.369999999999997</v>
      </c>
      <c r="J169" s="792"/>
    </row>
    <row r="170" spans="1:10" x14ac:dyDescent="0.25">
      <c r="A170" s="793">
        <v>153</v>
      </c>
      <c r="B170" s="791" t="s">
        <v>3875</v>
      </c>
      <c r="C170" s="377" t="s">
        <v>908</v>
      </c>
      <c r="D170" s="378" t="s">
        <v>909</v>
      </c>
      <c r="E170" s="379" t="s">
        <v>910</v>
      </c>
      <c r="F170" s="379" t="s">
        <v>911</v>
      </c>
      <c r="G170" s="374" t="s">
        <v>3850</v>
      </c>
      <c r="H170" s="335" t="s">
        <v>60</v>
      </c>
      <c r="I170" s="247">
        <v>12.2</v>
      </c>
      <c r="J170" s="792">
        <v>12.2</v>
      </c>
    </row>
    <row r="171" spans="1:10" x14ac:dyDescent="0.25">
      <c r="A171" s="793"/>
      <c r="B171" s="791"/>
      <c r="C171" s="377" t="s">
        <v>3847</v>
      </c>
      <c r="D171" s="378" t="s">
        <v>847</v>
      </c>
      <c r="E171" s="379" t="s">
        <v>848</v>
      </c>
      <c r="F171" s="379" t="s">
        <v>3848</v>
      </c>
      <c r="G171" s="374" t="s">
        <v>3850</v>
      </c>
      <c r="H171" s="335" t="s">
        <v>60</v>
      </c>
      <c r="I171" s="247">
        <v>11.56</v>
      </c>
      <c r="J171" s="792"/>
    </row>
    <row r="172" spans="1:10" x14ac:dyDescent="0.25">
      <c r="A172" s="793"/>
      <c r="B172" s="791"/>
      <c r="C172" s="377" t="s">
        <v>905</v>
      </c>
      <c r="D172" s="378" t="s">
        <v>906</v>
      </c>
      <c r="E172" s="379" t="s">
        <v>860</v>
      </c>
      <c r="F172" s="379" t="s">
        <v>907</v>
      </c>
      <c r="G172" s="374" t="s">
        <v>3850</v>
      </c>
      <c r="H172" s="335" t="s">
        <v>60</v>
      </c>
      <c r="I172" s="247">
        <v>14.75</v>
      </c>
      <c r="J172" s="792"/>
    </row>
    <row r="173" spans="1:10" x14ac:dyDescent="0.25">
      <c r="A173" s="793">
        <v>155</v>
      </c>
      <c r="B173" s="791" t="s">
        <v>3876</v>
      </c>
      <c r="C173" s="377" t="s">
        <v>908</v>
      </c>
      <c r="D173" s="378" t="s">
        <v>909</v>
      </c>
      <c r="E173" s="379" t="s">
        <v>910</v>
      </c>
      <c r="F173" s="379" t="s">
        <v>911</v>
      </c>
      <c r="G173" s="374" t="s">
        <v>3850</v>
      </c>
      <c r="H173" s="335" t="s">
        <v>60</v>
      </c>
      <c r="I173" s="389">
        <v>44</v>
      </c>
      <c r="J173" s="792">
        <v>44</v>
      </c>
    </row>
    <row r="174" spans="1:10" x14ac:dyDescent="0.25">
      <c r="A174" s="793"/>
      <c r="B174" s="791"/>
      <c r="C174" s="377" t="s">
        <v>3847</v>
      </c>
      <c r="D174" s="378" t="s">
        <v>847</v>
      </c>
      <c r="E174" s="379" t="s">
        <v>848</v>
      </c>
      <c r="F174" s="379" t="s">
        <v>3848</v>
      </c>
      <c r="G174" s="374" t="s">
        <v>3850</v>
      </c>
      <c r="H174" s="335" t="s">
        <v>60</v>
      </c>
      <c r="I174" s="389">
        <v>32</v>
      </c>
      <c r="J174" s="792"/>
    </row>
    <row r="175" spans="1:10" x14ac:dyDescent="0.25">
      <c r="A175" s="793"/>
      <c r="B175" s="791"/>
      <c r="C175" s="377" t="s">
        <v>905</v>
      </c>
      <c r="D175" s="378" t="s">
        <v>906</v>
      </c>
      <c r="E175" s="379" t="s">
        <v>860</v>
      </c>
      <c r="F175" s="379" t="s">
        <v>907</v>
      </c>
      <c r="G175" s="374" t="s">
        <v>3850</v>
      </c>
      <c r="H175" s="335" t="s">
        <v>60</v>
      </c>
      <c r="I175" s="389">
        <v>64.150000000000006</v>
      </c>
      <c r="J175" s="792"/>
    </row>
    <row r="176" spans="1:10" ht="15" customHeight="1" x14ac:dyDescent="0.25">
      <c r="A176" s="793">
        <v>166</v>
      </c>
      <c r="B176" s="791" t="s">
        <v>3877</v>
      </c>
      <c r="C176" s="377" t="s">
        <v>908</v>
      </c>
      <c r="D176" s="378" t="s">
        <v>909</v>
      </c>
      <c r="E176" s="379" t="s">
        <v>910</v>
      </c>
      <c r="F176" s="379" t="s">
        <v>911</v>
      </c>
      <c r="G176" s="374" t="s">
        <v>3850</v>
      </c>
      <c r="H176" s="335" t="s">
        <v>60</v>
      </c>
      <c r="I176" s="389">
        <v>7.9</v>
      </c>
      <c r="J176" s="792">
        <v>10.3</v>
      </c>
    </row>
    <row r="177" spans="1:10" x14ac:dyDescent="0.25">
      <c r="A177" s="793"/>
      <c r="B177" s="791"/>
      <c r="C177" s="377" t="s">
        <v>3847</v>
      </c>
      <c r="D177" s="378" t="s">
        <v>847</v>
      </c>
      <c r="E177" s="379" t="s">
        <v>848</v>
      </c>
      <c r="F177" s="379" t="s">
        <v>3848</v>
      </c>
      <c r="G177" s="374" t="s">
        <v>3850</v>
      </c>
      <c r="H177" s="335" t="s">
        <v>60</v>
      </c>
      <c r="I177" s="389">
        <v>11.11</v>
      </c>
      <c r="J177" s="792"/>
    </row>
    <row r="178" spans="1:10" x14ac:dyDescent="0.25">
      <c r="A178" s="812"/>
      <c r="B178" s="813"/>
      <c r="C178" s="385" t="s">
        <v>905</v>
      </c>
      <c r="D178" s="386" t="s">
        <v>906</v>
      </c>
      <c r="E178" s="387" t="s">
        <v>860</v>
      </c>
      <c r="F178" s="387" t="s">
        <v>907</v>
      </c>
      <c r="G178" s="374" t="s">
        <v>3850</v>
      </c>
      <c r="H178" s="388" t="s">
        <v>60</v>
      </c>
      <c r="I178" s="389">
        <v>10.3</v>
      </c>
      <c r="J178" s="814"/>
    </row>
    <row r="179" spans="1:10" ht="15" customHeight="1" x14ac:dyDescent="0.25">
      <c r="A179" s="793">
        <v>167</v>
      </c>
      <c r="B179" s="791" t="s">
        <v>3878</v>
      </c>
      <c r="C179" s="377" t="s">
        <v>908</v>
      </c>
      <c r="D179" s="378" t="s">
        <v>909</v>
      </c>
      <c r="E179" s="379" t="s">
        <v>910</v>
      </c>
      <c r="F179" s="379" t="s">
        <v>911</v>
      </c>
      <c r="G179" s="374" t="s">
        <v>3850</v>
      </c>
      <c r="H179" s="335" t="s">
        <v>60</v>
      </c>
      <c r="I179" s="247">
        <v>4.9000000000000004</v>
      </c>
      <c r="J179" s="792">
        <v>5.66</v>
      </c>
    </row>
    <row r="180" spans="1:10" x14ac:dyDescent="0.25">
      <c r="A180" s="793"/>
      <c r="B180" s="791"/>
      <c r="C180" s="377" t="s">
        <v>3847</v>
      </c>
      <c r="D180" s="378" t="s">
        <v>847</v>
      </c>
      <c r="E180" s="379" t="s">
        <v>848</v>
      </c>
      <c r="F180" s="379" t="s">
        <v>3848</v>
      </c>
      <c r="G180" s="374" t="s">
        <v>3850</v>
      </c>
      <c r="H180" s="335" t="s">
        <v>60</v>
      </c>
      <c r="I180" s="247">
        <v>8.3699999999999992</v>
      </c>
      <c r="J180" s="792"/>
    </row>
    <row r="181" spans="1:10" x14ac:dyDescent="0.25">
      <c r="A181" s="793"/>
      <c r="B181" s="791"/>
      <c r="C181" s="377" t="s">
        <v>905</v>
      </c>
      <c r="D181" s="378" t="s">
        <v>906</v>
      </c>
      <c r="E181" s="379" t="s">
        <v>860</v>
      </c>
      <c r="F181" s="379" t="s">
        <v>907</v>
      </c>
      <c r="G181" s="374" t="s">
        <v>3850</v>
      </c>
      <c r="H181" s="335" t="s">
        <v>60</v>
      </c>
      <c r="I181" s="247">
        <v>5.66</v>
      </c>
      <c r="J181" s="792"/>
    </row>
    <row r="182" spans="1:10" ht="15" customHeight="1" x14ac:dyDescent="0.25">
      <c r="A182" s="793">
        <v>171</v>
      </c>
      <c r="B182" s="791" t="s">
        <v>3879</v>
      </c>
      <c r="C182" s="377" t="s">
        <v>908</v>
      </c>
      <c r="D182" s="378" t="s">
        <v>909</v>
      </c>
      <c r="E182" s="379" t="s">
        <v>910</v>
      </c>
      <c r="F182" s="379" t="s">
        <v>911</v>
      </c>
      <c r="G182" s="374" t="s">
        <v>3850</v>
      </c>
      <c r="H182" s="335" t="s">
        <v>60</v>
      </c>
      <c r="I182" s="247">
        <v>7.4</v>
      </c>
      <c r="J182" s="792">
        <v>8.8800000000000008</v>
      </c>
    </row>
    <row r="183" spans="1:10" x14ac:dyDescent="0.25">
      <c r="A183" s="793"/>
      <c r="B183" s="791"/>
      <c r="C183" s="377" t="s">
        <v>3847</v>
      </c>
      <c r="D183" s="378" t="s">
        <v>847</v>
      </c>
      <c r="E183" s="379" t="s">
        <v>848</v>
      </c>
      <c r="F183" s="379" t="s">
        <v>3848</v>
      </c>
      <c r="G183" s="374" t="s">
        <v>3850</v>
      </c>
      <c r="H183" s="335" t="s">
        <v>60</v>
      </c>
      <c r="I183" s="247">
        <v>8.8800000000000008</v>
      </c>
      <c r="J183" s="792"/>
    </row>
    <row r="184" spans="1:10" x14ac:dyDescent="0.25">
      <c r="A184" s="793"/>
      <c r="B184" s="791"/>
      <c r="C184" s="377" t="s">
        <v>905</v>
      </c>
      <c r="D184" s="378" t="s">
        <v>906</v>
      </c>
      <c r="E184" s="379" t="s">
        <v>860</v>
      </c>
      <c r="F184" s="379" t="s">
        <v>907</v>
      </c>
      <c r="G184" s="374" t="s">
        <v>3850</v>
      </c>
      <c r="H184" s="335" t="s">
        <v>60</v>
      </c>
      <c r="I184" s="247">
        <v>10.58</v>
      </c>
      <c r="J184" s="792"/>
    </row>
    <row r="185" spans="1:10" ht="15" customHeight="1" x14ac:dyDescent="0.25">
      <c r="A185" s="793">
        <v>177</v>
      </c>
      <c r="B185" s="791" t="s">
        <v>3880</v>
      </c>
      <c r="C185" s="377" t="s">
        <v>908</v>
      </c>
      <c r="D185" s="378" t="s">
        <v>909</v>
      </c>
      <c r="E185" s="379" t="s">
        <v>910</v>
      </c>
      <c r="F185" s="379" t="s">
        <v>911</v>
      </c>
      <c r="G185" s="374" t="s">
        <v>3850</v>
      </c>
      <c r="H185" s="335" t="s">
        <v>60</v>
      </c>
      <c r="I185" s="247">
        <v>3.99</v>
      </c>
      <c r="J185" s="792">
        <v>4.8099999999999996</v>
      </c>
    </row>
    <row r="186" spans="1:10" x14ac:dyDescent="0.25">
      <c r="A186" s="793"/>
      <c r="B186" s="791"/>
      <c r="C186" s="377" t="s">
        <v>3847</v>
      </c>
      <c r="D186" s="378" t="s">
        <v>847</v>
      </c>
      <c r="E186" s="379" t="s">
        <v>848</v>
      </c>
      <c r="F186" s="379" t="s">
        <v>3848</v>
      </c>
      <c r="G186" s="374" t="s">
        <v>3850</v>
      </c>
      <c r="H186" s="335" t="s">
        <v>60</v>
      </c>
      <c r="I186" s="247">
        <v>4.8099999999999996</v>
      </c>
      <c r="J186" s="792"/>
    </row>
    <row r="187" spans="1:10" x14ac:dyDescent="0.25">
      <c r="A187" s="793"/>
      <c r="B187" s="791"/>
      <c r="C187" s="377" t="s">
        <v>905</v>
      </c>
      <c r="D187" s="378" t="s">
        <v>906</v>
      </c>
      <c r="E187" s="379" t="s">
        <v>860</v>
      </c>
      <c r="F187" s="379" t="s">
        <v>907</v>
      </c>
      <c r="G187" s="374" t="s">
        <v>3850</v>
      </c>
      <c r="H187" s="335" t="s">
        <v>60</v>
      </c>
      <c r="I187" s="247">
        <v>4.8600000000000003</v>
      </c>
      <c r="J187" s="792"/>
    </row>
    <row r="188" spans="1:10" x14ac:dyDescent="0.25">
      <c r="A188" s="793">
        <v>178</v>
      </c>
      <c r="B188" s="791" t="s">
        <v>3881</v>
      </c>
      <c r="C188" s="377" t="s">
        <v>908</v>
      </c>
      <c r="D188" s="378" t="s">
        <v>909</v>
      </c>
      <c r="E188" s="379" t="s">
        <v>910</v>
      </c>
      <c r="F188" s="379" t="s">
        <v>911</v>
      </c>
      <c r="G188" s="374" t="s">
        <v>3850</v>
      </c>
      <c r="H188" s="335" t="s">
        <v>60</v>
      </c>
      <c r="I188" s="247">
        <v>145</v>
      </c>
      <c r="J188" s="792">
        <v>185.01</v>
      </c>
    </row>
    <row r="189" spans="1:10" x14ac:dyDescent="0.25">
      <c r="A189" s="793"/>
      <c r="B189" s="791"/>
      <c r="C189" s="377" t="s">
        <v>3847</v>
      </c>
      <c r="D189" s="378" t="s">
        <v>847</v>
      </c>
      <c r="E189" s="379" t="s">
        <v>848</v>
      </c>
      <c r="F189" s="379" t="s">
        <v>3848</v>
      </c>
      <c r="G189" s="374" t="s">
        <v>3850</v>
      </c>
      <c r="H189" s="335" t="s">
        <v>60</v>
      </c>
      <c r="I189" s="247">
        <v>186.79</v>
      </c>
      <c r="J189" s="792"/>
    </row>
    <row r="190" spans="1:10" x14ac:dyDescent="0.25">
      <c r="A190" s="793"/>
      <c r="B190" s="791"/>
      <c r="C190" s="377" t="s">
        <v>905</v>
      </c>
      <c r="D190" s="378" t="s">
        <v>906</v>
      </c>
      <c r="E190" s="379" t="s">
        <v>860</v>
      </c>
      <c r="F190" s="379" t="s">
        <v>907</v>
      </c>
      <c r="G190" s="374" t="s">
        <v>3850</v>
      </c>
      <c r="H190" s="335" t="s">
        <v>60</v>
      </c>
      <c r="I190" s="247">
        <v>185.01</v>
      </c>
      <c r="J190" s="792"/>
    </row>
    <row r="191" spans="1:10" ht="15" customHeight="1" x14ac:dyDescent="0.25">
      <c r="A191" s="793">
        <v>183</v>
      </c>
      <c r="B191" s="791" t="s">
        <v>3882</v>
      </c>
      <c r="C191" s="377" t="s">
        <v>908</v>
      </c>
      <c r="D191" s="378" t="s">
        <v>909</v>
      </c>
      <c r="E191" s="379" t="s">
        <v>910</v>
      </c>
      <c r="F191" s="379" t="s">
        <v>911</v>
      </c>
      <c r="G191" s="374" t="s">
        <v>3850</v>
      </c>
      <c r="H191" s="335" t="s">
        <v>60</v>
      </c>
      <c r="I191" s="247">
        <v>89</v>
      </c>
      <c r="J191" s="792">
        <v>87.86</v>
      </c>
    </row>
    <row r="192" spans="1:10" x14ac:dyDescent="0.25">
      <c r="A192" s="793"/>
      <c r="B192" s="791"/>
      <c r="C192" s="377" t="s">
        <v>3847</v>
      </c>
      <c r="D192" s="378" t="s">
        <v>847</v>
      </c>
      <c r="E192" s="379" t="s">
        <v>848</v>
      </c>
      <c r="F192" s="379" t="s">
        <v>3848</v>
      </c>
      <c r="G192" s="374" t="s">
        <v>3850</v>
      </c>
      <c r="H192" s="335" t="s">
        <v>60</v>
      </c>
      <c r="I192" s="247">
        <v>87.86</v>
      </c>
      <c r="J192" s="792"/>
    </row>
    <row r="193" spans="1:10" x14ac:dyDescent="0.25">
      <c r="A193" s="793"/>
      <c r="B193" s="791"/>
      <c r="C193" s="377" t="s">
        <v>905</v>
      </c>
      <c r="D193" s="378" t="s">
        <v>906</v>
      </c>
      <c r="E193" s="379" t="s">
        <v>860</v>
      </c>
      <c r="F193" s="379" t="s">
        <v>907</v>
      </c>
      <c r="G193" s="374" t="s">
        <v>3850</v>
      </c>
      <c r="H193" s="335" t="s">
        <v>60</v>
      </c>
      <c r="I193" s="247">
        <v>83.96</v>
      </c>
      <c r="J193" s="792"/>
    </row>
    <row r="194" spans="1:10" x14ac:dyDescent="0.25">
      <c r="A194" s="793">
        <v>196</v>
      </c>
      <c r="B194" s="791" t="s">
        <v>3883</v>
      </c>
      <c r="C194" s="380" t="s">
        <v>3855</v>
      </c>
      <c r="D194" s="380" t="s">
        <v>3856</v>
      </c>
      <c r="E194" s="381" t="s">
        <v>3857</v>
      </c>
      <c r="F194" s="382" t="s">
        <v>3858</v>
      </c>
      <c r="G194" s="374" t="s">
        <v>3850</v>
      </c>
      <c r="H194" s="383" t="s">
        <v>60</v>
      </c>
      <c r="I194" s="390">
        <v>1632.93</v>
      </c>
      <c r="J194" s="792">
        <v>1632.93</v>
      </c>
    </row>
    <row r="195" spans="1:10" x14ac:dyDescent="0.25">
      <c r="A195" s="793"/>
      <c r="B195" s="791"/>
      <c r="C195" s="377" t="s">
        <v>908</v>
      </c>
      <c r="D195" s="378" t="s">
        <v>909</v>
      </c>
      <c r="E195" s="379" t="s">
        <v>910</v>
      </c>
      <c r="F195" s="379" t="s">
        <v>911</v>
      </c>
      <c r="G195" s="374" t="s">
        <v>3850</v>
      </c>
      <c r="H195" s="335" t="s">
        <v>60</v>
      </c>
      <c r="I195" s="247">
        <v>1185</v>
      </c>
      <c r="J195" s="792"/>
    </row>
    <row r="196" spans="1:10" x14ac:dyDescent="0.25">
      <c r="A196" s="793"/>
      <c r="B196" s="791"/>
      <c r="C196" s="377" t="s">
        <v>3847</v>
      </c>
      <c r="D196" s="378" t="s">
        <v>847</v>
      </c>
      <c r="E196" s="379" t="s">
        <v>848</v>
      </c>
      <c r="F196" s="379" t="s">
        <v>3848</v>
      </c>
      <c r="G196" s="374" t="s">
        <v>3850</v>
      </c>
      <c r="H196" s="335" t="s">
        <v>60</v>
      </c>
      <c r="I196" s="247">
        <v>2040.55</v>
      </c>
      <c r="J196" s="792"/>
    </row>
    <row r="197" spans="1:10" x14ac:dyDescent="0.25">
      <c r="A197" s="793">
        <v>200</v>
      </c>
      <c r="B197" s="791" t="s">
        <v>3884</v>
      </c>
      <c r="C197" s="377" t="s">
        <v>908</v>
      </c>
      <c r="D197" s="378" t="s">
        <v>909</v>
      </c>
      <c r="E197" s="379" t="s">
        <v>910</v>
      </c>
      <c r="F197" s="379" t="s">
        <v>911</v>
      </c>
      <c r="G197" s="374" t="s">
        <v>3850</v>
      </c>
      <c r="H197" s="335" t="s">
        <v>60</v>
      </c>
      <c r="I197" s="247">
        <v>10.5</v>
      </c>
      <c r="J197" s="792">
        <v>11.32</v>
      </c>
    </row>
    <row r="198" spans="1:10" x14ac:dyDescent="0.25">
      <c r="A198" s="793"/>
      <c r="B198" s="791"/>
      <c r="C198" s="377" t="s">
        <v>3847</v>
      </c>
      <c r="D198" s="378" t="s">
        <v>847</v>
      </c>
      <c r="E198" s="379" t="s">
        <v>848</v>
      </c>
      <c r="F198" s="379" t="s">
        <v>3848</v>
      </c>
      <c r="G198" s="374" t="s">
        <v>3850</v>
      </c>
      <c r="H198" s="335" t="s">
        <v>60</v>
      </c>
      <c r="I198" s="247">
        <v>18.87</v>
      </c>
      <c r="J198" s="792"/>
    </row>
    <row r="199" spans="1:10" x14ac:dyDescent="0.25">
      <c r="A199" s="793"/>
      <c r="B199" s="791"/>
      <c r="C199" s="377" t="s">
        <v>905</v>
      </c>
      <c r="D199" s="378" t="s">
        <v>906</v>
      </c>
      <c r="E199" s="379" t="s">
        <v>860</v>
      </c>
      <c r="F199" s="379" t="s">
        <v>907</v>
      </c>
      <c r="G199" s="374" t="s">
        <v>3850</v>
      </c>
      <c r="H199" s="335" t="s">
        <v>60</v>
      </c>
      <c r="I199" s="247">
        <v>11.32</v>
      </c>
      <c r="J199" s="792"/>
    </row>
    <row r="200" spans="1:10" x14ac:dyDescent="0.25">
      <c r="A200" s="793">
        <v>207</v>
      </c>
      <c r="B200" s="791" t="s">
        <v>3885</v>
      </c>
      <c r="C200" s="377" t="s">
        <v>3855</v>
      </c>
      <c r="D200" s="378" t="s">
        <v>3856</v>
      </c>
      <c r="E200" s="379" t="s">
        <v>3857</v>
      </c>
      <c r="F200" s="379" t="s">
        <v>3858</v>
      </c>
      <c r="G200" s="374" t="s">
        <v>3850</v>
      </c>
      <c r="H200" s="335" t="s">
        <v>60</v>
      </c>
      <c r="I200" s="247">
        <v>9.92</v>
      </c>
      <c r="J200" s="792">
        <v>9.2200000000000006</v>
      </c>
    </row>
    <row r="201" spans="1:10" x14ac:dyDescent="0.25">
      <c r="A201" s="793"/>
      <c r="B201" s="791"/>
      <c r="C201" s="377" t="s">
        <v>3866</v>
      </c>
      <c r="D201" s="378" t="s">
        <v>863</v>
      </c>
      <c r="E201" s="379" t="s">
        <v>3867</v>
      </c>
      <c r="F201" s="379" t="s">
        <v>3868</v>
      </c>
      <c r="G201" s="374" t="s">
        <v>3850</v>
      </c>
      <c r="H201" s="335" t="s">
        <v>60</v>
      </c>
      <c r="I201" s="247">
        <v>9.2200000000000006</v>
      </c>
      <c r="J201" s="792"/>
    </row>
    <row r="202" spans="1:10" x14ac:dyDescent="0.25">
      <c r="A202" s="793"/>
      <c r="B202" s="791"/>
      <c r="C202" s="377" t="s">
        <v>3886</v>
      </c>
      <c r="D202" s="378" t="s">
        <v>3887</v>
      </c>
      <c r="E202" s="379" t="s">
        <v>3888</v>
      </c>
      <c r="F202" s="379" t="s">
        <v>3889</v>
      </c>
      <c r="G202" s="374">
        <v>42795</v>
      </c>
      <c r="H202" s="335" t="s">
        <v>60</v>
      </c>
      <c r="I202" s="247">
        <v>7.17</v>
      </c>
      <c r="J202" s="792"/>
    </row>
    <row r="203" spans="1:10" x14ac:dyDescent="0.25">
      <c r="A203" s="793">
        <v>209</v>
      </c>
      <c r="B203" s="791" t="s">
        <v>3890</v>
      </c>
      <c r="C203" s="377" t="s">
        <v>908</v>
      </c>
      <c r="D203" s="378" t="s">
        <v>909</v>
      </c>
      <c r="E203" s="379" t="s">
        <v>910</v>
      </c>
      <c r="F203" s="379" t="s">
        <v>911</v>
      </c>
      <c r="G203" s="374" t="s">
        <v>3850</v>
      </c>
      <c r="H203" s="335" t="s">
        <v>60</v>
      </c>
      <c r="I203" s="247">
        <v>24.5</v>
      </c>
      <c r="J203" s="792">
        <v>34.96</v>
      </c>
    </row>
    <row r="204" spans="1:10" x14ac:dyDescent="0.25">
      <c r="A204" s="793"/>
      <c r="B204" s="791"/>
      <c r="C204" s="377" t="s">
        <v>3847</v>
      </c>
      <c r="D204" s="378" t="s">
        <v>847</v>
      </c>
      <c r="E204" s="379" t="s">
        <v>848</v>
      </c>
      <c r="F204" s="379" t="s">
        <v>3848</v>
      </c>
      <c r="G204" s="374" t="s">
        <v>3850</v>
      </c>
      <c r="H204" s="335" t="s">
        <v>60</v>
      </c>
      <c r="I204" s="247">
        <v>34.96</v>
      </c>
      <c r="J204" s="792"/>
    </row>
    <row r="205" spans="1:10" x14ac:dyDescent="0.25">
      <c r="A205" s="793"/>
      <c r="B205" s="791"/>
      <c r="C205" s="377" t="s">
        <v>905</v>
      </c>
      <c r="D205" s="378" t="s">
        <v>906</v>
      </c>
      <c r="E205" s="379" t="s">
        <v>860</v>
      </c>
      <c r="F205" s="379" t="s">
        <v>907</v>
      </c>
      <c r="G205" s="374" t="s">
        <v>3850</v>
      </c>
      <c r="H205" s="335" t="s">
        <v>60</v>
      </c>
      <c r="I205" s="247">
        <v>67.03</v>
      </c>
      <c r="J205" s="792"/>
    </row>
    <row r="206" spans="1:10" x14ac:dyDescent="0.25">
      <c r="A206" s="793">
        <v>83</v>
      </c>
      <c r="B206" s="791" t="s">
        <v>605</v>
      </c>
      <c r="C206" s="377" t="s">
        <v>905</v>
      </c>
      <c r="D206" s="378" t="s">
        <v>906</v>
      </c>
      <c r="E206" s="379" t="s">
        <v>860</v>
      </c>
      <c r="F206" s="379" t="s">
        <v>907</v>
      </c>
      <c r="G206" s="374">
        <v>42767</v>
      </c>
      <c r="H206" s="335" t="s">
        <v>60</v>
      </c>
      <c r="I206" s="247">
        <v>4.55</v>
      </c>
      <c r="J206" s="792">
        <v>4.55</v>
      </c>
    </row>
    <row r="207" spans="1:10" x14ac:dyDescent="0.25">
      <c r="A207" s="793"/>
      <c r="B207" s="791"/>
      <c r="C207" s="377" t="s">
        <v>908</v>
      </c>
      <c r="D207" s="378" t="s">
        <v>909</v>
      </c>
      <c r="E207" s="379" t="s">
        <v>910</v>
      </c>
      <c r="F207" s="379" t="s">
        <v>911</v>
      </c>
      <c r="G207" s="374">
        <v>42767</v>
      </c>
      <c r="H207" s="335" t="s">
        <v>60</v>
      </c>
      <c r="I207" s="247">
        <v>4.55</v>
      </c>
      <c r="J207" s="792"/>
    </row>
    <row r="208" spans="1:10" x14ac:dyDescent="0.25">
      <c r="A208" s="793"/>
      <c r="B208" s="791"/>
      <c r="C208" s="377" t="s">
        <v>899</v>
      </c>
      <c r="D208" s="378" t="s">
        <v>851</v>
      </c>
      <c r="E208" s="379" t="s">
        <v>852</v>
      </c>
      <c r="F208" s="379" t="s">
        <v>900</v>
      </c>
      <c r="G208" s="374">
        <v>42767</v>
      </c>
      <c r="H208" s="335" t="s">
        <v>60</v>
      </c>
      <c r="I208" s="247">
        <v>4.75</v>
      </c>
      <c r="J208" s="792"/>
    </row>
    <row r="209" spans="1:10" x14ac:dyDescent="0.25">
      <c r="A209" s="793">
        <v>84</v>
      </c>
      <c r="B209" s="791" t="s">
        <v>3605</v>
      </c>
      <c r="C209" s="377" t="s">
        <v>905</v>
      </c>
      <c r="D209" s="378" t="s">
        <v>906</v>
      </c>
      <c r="E209" s="379" t="s">
        <v>860</v>
      </c>
      <c r="F209" s="379" t="s">
        <v>907</v>
      </c>
      <c r="G209" s="374">
        <v>42767</v>
      </c>
      <c r="H209" s="335" t="s">
        <v>60</v>
      </c>
      <c r="I209" s="247">
        <v>50.57</v>
      </c>
      <c r="J209" s="792">
        <v>50.57</v>
      </c>
    </row>
    <row r="210" spans="1:10" x14ac:dyDescent="0.25">
      <c r="A210" s="793"/>
      <c r="B210" s="791"/>
      <c r="C210" s="377" t="s">
        <v>908</v>
      </c>
      <c r="D210" s="378" t="s">
        <v>909</v>
      </c>
      <c r="E210" s="379" t="s">
        <v>910</v>
      </c>
      <c r="F210" s="379" t="s">
        <v>911</v>
      </c>
      <c r="G210" s="374">
        <v>42767</v>
      </c>
      <c r="H210" s="335" t="s">
        <v>60</v>
      </c>
      <c r="I210" s="247">
        <v>48.95</v>
      </c>
      <c r="J210" s="792"/>
    </row>
    <row r="211" spans="1:10" x14ac:dyDescent="0.25">
      <c r="A211" s="793"/>
      <c r="B211" s="791"/>
      <c r="C211" s="377" t="s">
        <v>899</v>
      </c>
      <c r="D211" s="378" t="s">
        <v>851</v>
      </c>
      <c r="E211" s="379" t="s">
        <v>852</v>
      </c>
      <c r="F211" s="379" t="s">
        <v>900</v>
      </c>
      <c r="G211" s="374">
        <v>42767</v>
      </c>
      <c r="H211" s="335" t="s">
        <v>60</v>
      </c>
      <c r="I211" s="247">
        <v>55.31</v>
      </c>
      <c r="J211" s="792"/>
    </row>
    <row r="212" spans="1:10" x14ac:dyDescent="0.25">
      <c r="A212" s="793">
        <v>86</v>
      </c>
      <c r="B212" s="791" t="s">
        <v>3597</v>
      </c>
      <c r="C212" s="377" t="s">
        <v>905</v>
      </c>
      <c r="D212" s="378" t="s">
        <v>906</v>
      </c>
      <c r="E212" s="379" t="s">
        <v>860</v>
      </c>
      <c r="F212" s="379" t="s">
        <v>907</v>
      </c>
      <c r="G212" s="374">
        <v>42767</v>
      </c>
      <c r="H212" s="335" t="s">
        <v>60</v>
      </c>
      <c r="I212" s="247">
        <v>6.85</v>
      </c>
      <c r="J212" s="810">
        <v>6.85</v>
      </c>
    </row>
    <row r="213" spans="1:10" x14ac:dyDescent="0.25">
      <c r="A213" s="793"/>
      <c r="B213" s="791"/>
      <c r="C213" s="377" t="s">
        <v>908</v>
      </c>
      <c r="D213" s="378" t="s">
        <v>909</v>
      </c>
      <c r="E213" s="379" t="s">
        <v>910</v>
      </c>
      <c r="F213" s="379" t="s">
        <v>911</v>
      </c>
      <c r="G213" s="374">
        <v>42767</v>
      </c>
      <c r="H213" s="335" t="s">
        <v>60</v>
      </c>
      <c r="I213" s="247">
        <v>6.65</v>
      </c>
      <c r="J213" s="810"/>
    </row>
    <row r="214" spans="1:10" x14ac:dyDescent="0.25">
      <c r="A214" s="793"/>
      <c r="B214" s="791"/>
      <c r="C214" s="377" t="s">
        <v>899</v>
      </c>
      <c r="D214" s="378" t="s">
        <v>851</v>
      </c>
      <c r="E214" s="379" t="s">
        <v>852</v>
      </c>
      <c r="F214" s="379" t="s">
        <v>900</v>
      </c>
      <c r="G214" s="374">
        <v>42767</v>
      </c>
      <c r="H214" s="335" t="s">
        <v>60</v>
      </c>
      <c r="I214" s="247">
        <v>7.25</v>
      </c>
      <c r="J214" s="810"/>
    </row>
    <row r="215" spans="1:10" x14ac:dyDescent="0.25">
      <c r="A215" s="793">
        <v>89</v>
      </c>
      <c r="B215" s="791" t="s">
        <v>3599</v>
      </c>
      <c r="C215" s="377" t="s">
        <v>905</v>
      </c>
      <c r="D215" s="378" t="s">
        <v>906</v>
      </c>
      <c r="E215" s="379" t="s">
        <v>860</v>
      </c>
      <c r="F215" s="379" t="s">
        <v>907</v>
      </c>
      <c r="G215" s="374">
        <v>42767</v>
      </c>
      <c r="H215" s="335" t="s">
        <v>60</v>
      </c>
      <c r="I215" s="247">
        <v>9.7899999999999991</v>
      </c>
      <c r="J215" s="810">
        <v>10.35</v>
      </c>
    </row>
    <row r="216" spans="1:10" x14ac:dyDescent="0.25">
      <c r="A216" s="793"/>
      <c r="B216" s="791"/>
      <c r="C216" s="377" t="s">
        <v>908</v>
      </c>
      <c r="D216" s="378" t="s">
        <v>909</v>
      </c>
      <c r="E216" s="379" t="s">
        <v>910</v>
      </c>
      <c r="F216" s="379" t="s">
        <v>911</v>
      </c>
      <c r="G216" s="374">
        <v>42767</v>
      </c>
      <c r="H216" s="335" t="s">
        <v>60</v>
      </c>
      <c r="I216" s="247">
        <v>10.35</v>
      </c>
      <c r="J216" s="810"/>
    </row>
    <row r="217" spans="1:10" x14ac:dyDescent="0.25">
      <c r="A217" s="793"/>
      <c r="B217" s="791"/>
      <c r="C217" s="377" t="s">
        <v>899</v>
      </c>
      <c r="D217" s="378" t="s">
        <v>851</v>
      </c>
      <c r="E217" s="379" t="s">
        <v>852</v>
      </c>
      <c r="F217" s="379" t="s">
        <v>900</v>
      </c>
      <c r="G217" s="374">
        <v>42767</v>
      </c>
      <c r="H217" s="335" t="s">
        <v>60</v>
      </c>
      <c r="I217" s="247">
        <v>11.29</v>
      </c>
      <c r="J217" s="810"/>
    </row>
    <row r="218" spans="1:10" ht="15" customHeight="1" x14ac:dyDescent="0.25">
      <c r="A218" s="793">
        <v>90</v>
      </c>
      <c r="B218" s="791" t="s">
        <v>3601</v>
      </c>
      <c r="C218" s="377" t="s">
        <v>905</v>
      </c>
      <c r="D218" s="378" t="s">
        <v>906</v>
      </c>
      <c r="E218" s="379" t="s">
        <v>860</v>
      </c>
      <c r="F218" s="379" t="s">
        <v>907</v>
      </c>
      <c r="G218" s="374">
        <v>42767</v>
      </c>
      <c r="H218" s="335" t="s">
        <v>60</v>
      </c>
      <c r="I218" s="247">
        <v>14.01</v>
      </c>
      <c r="J218" s="810">
        <v>14.36</v>
      </c>
    </row>
    <row r="219" spans="1:10" x14ac:dyDescent="0.25">
      <c r="A219" s="793"/>
      <c r="B219" s="791"/>
      <c r="C219" s="377" t="s">
        <v>908</v>
      </c>
      <c r="D219" s="378" t="s">
        <v>909</v>
      </c>
      <c r="E219" s="379" t="s">
        <v>910</v>
      </c>
      <c r="F219" s="379" t="s">
        <v>911</v>
      </c>
      <c r="G219" s="374">
        <v>42767</v>
      </c>
      <c r="H219" s="335" t="s">
        <v>60</v>
      </c>
      <c r="I219" s="247">
        <v>14.36</v>
      </c>
      <c r="J219" s="810"/>
    </row>
    <row r="220" spans="1:10" x14ac:dyDescent="0.25">
      <c r="A220" s="793"/>
      <c r="B220" s="791"/>
      <c r="C220" s="377" t="s">
        <v>899</v>
      </c>
      <c r="D220" s="378" t="s">
        <v>851</v>
      </c>
      <c r="E220" s="379" t="s">
        <v>852</v>
      </c>
      <c r="F220" s="379" t="s">
        <v>900</v>
      </c>
      <c r="G220" s="374">
        <v>42767</v>
      </c>
      <c r="H220" s="335" t="s">
        <v>60</v>
      </c>
      <c r="I220" s="247">
        <v>15.74</v>
      </c>
      <c r="J220" s="810"/>
    </row>
    <row r="221" spans="1:10" x14ac:dyDescent="0.25">
      <c r="A221" s="793">
        <v>91</v>
      </c>
      <c r="B221" s="791" t="s">
        <v>607</v>
      </c>
      <c r="C221" s="377" t="s">
        <v>905</v>
      </c>
      <c r="D221" s="378" t="s">
        <v>906</v>
      </c>
      <c r="E221" s="379" t="s">
        <v>860</v>
      </c>
      <c r="F221" s="379" t="s">
        <v>907</v>
      </c>
      <c r="G221" s="374">
        <v>42767</v>
      </c>
      <c r="H221" s="335" t="s">
        <v>60</v>
      </c>
      <c r="I221" s="247">
        <v>20.61</v>
      </c>
      <c r="J221" s="810">
        <v>20.82</v>
      </c>
    </row>
    <row r="222" spans="1:10" x14ac:dyDescent="0.25">
      <c r="A222" s="793"/>
      <c r="B222" s="791"/>
      <c r="C222" s="377" t="s">
        <v>908</v>
      </c>
      <c r="D222" s="378" t="s">
        <v>909</v>
      </c>
      <c r="E222" s="379" t="s">
        <v>910</v>
      </c>
      <c r="F222" s="379" t="s">
        <v>911</v>
      </c>
      <c r="G222" s="374">
        <v>42767</v>
      </c>
      <c r="H222" s="335" t="s">
        <v>60</v>
      </c>
      <c r="I222" s="247">
        <v>20.82</v>
      </c>
      <c r="J222" s="810"/>
    </row>
    <row r="223" spans="1:10" x14ac:dyDescent="0.25">
      <c r="A223" s="793"/>
      <c r="B223" s="791"/>
      <c r="C223" s="377" t="s">
        <v>899</v>
      </c>
      <c r="D223" s="378" t="s">
        <v>851</v>
      </c>
      <c r="E223" s="379" t="s">
        <v>852</v>
      </c>
      <c r="F223" s="379" t="s">
        <v>900</v>
      </c>
      <c r="G223" s="374">
        <v>42767</v>
      </c>
      <c r="H223" s="335" t="s">
        <v>60</v>
      </c>
      <c r="I223" s="247">
        <v>22.53</v>
      </c>
      <c r="J223" s="810"/>
    </row>
    <row r="224" spans="1:10" x14ac:dyDescent="0.25">
      <c r="A224" s="793">
        <v>92</v>
      </c>
      <c r="B224" s="791" t="s">
        <v>3603</v>
      </c>
      <c r="C224" s="377" t="s">
        <v>905</v>
      </c>
      <c r="D224" s="378" t="s">
        <v>906</v>
      </c>
      <c r="E224" s="379" t="s">
        <v>860</v>
      </c>
      <c r="F224" s="379" t="s">
        <v>907</v>
      </c>
      <c r="G224" s="374">
        <v>42767</v>
      </c>
      <c r="H224" s="335" t="s">
        <v>60</v>
      </c>
      <c r="I224" s="247">
        <v>27.72</v>
      </c>
      <c r="J224" s="792">
        <v>27.72</v>
      </c>
    </row>
    <row r="225" spans="1:10" x14ac:dyDescent="0.25">
      <c r="A225" s="793"/>
      <c r="B225" s="791"/>
      <c r="C225" s="377" t="s">
        <v>908</v>
      </c>
      <c r="D225" s="378" t="s">
        <v>909</v>
      </c>
      <c r="E225" s="379" t="s">
        <v>910</v>
      </c>
      <c r="F225" s="379" t="s">
        <v>911</v>
      </c>
      <c r="G225" s="374">
        <v>42767</v>
      </c>
      <c r="H225" s="335" t="s">
        <v>60</v>
      </c>
      <c r="I225" s="247">
        <v>29.17</v>
      </c>
      <c r="J225" s="792"/>
    </row>
    <row r="226" spans="1:10" x14ac:dyDescent="0.25">
      <c r="A226" s="793"/>
      <c r="B226" s="791"/>
      <c r="C226" s="377" t="s">
        <v>899</v>
      </c>
      <c r="D226" s="378" t="s">
        <v>851</v>
      </c>
      <c r="E226" s="379" t="s">
        <v>852</v>
      </c>
      <c r="F226" s="379" t="s">
        <v>900</v>
      </c>
      <c r="G226" s="374">
        <v>42767</v>
      </c>
      <c r="H226" s="335" t="s">
        <v>60</v>
      </c>
      <c r="I226" s="247">
        <v>26.08</v>
      </c>
      <c r="J226" s="792"/>
    </row>
    <row r="227" spans="1:10" ht="15" customHeight="1" x14ac:dyDescent="0.25">
      <c r="A227" s="793">
        <v>277</v>
      </c>
      <c r="B227" s="791" t="s">
        <v>912</v>
      </c>
      <c r="C227" s="333" t="s">
        <v>899</v>
      </c>
      <c r="D227" s="331" t="s">
        <v>851</v>
      </c>
      <c r="E227" s="333" t="s">
        <v>852</v>
      </c>
      <c r="F227" s="332" t="s">
        <v>900</v>
      </c>
      <c r="G227" s="374">
        <v>42795</v>
      </c>
      <c r="H227" s="360" t="s">
        <v>60</v>
      </c>
      <c r="I227" s="358">
        <v>17.37</v>
      </c>
      <c r="J227" s="810">
        <v>17.37</v>
      </c>
    </row>
    <row r="228" spans="1:10" x14ac:dyDescent="0.25">
      <c r="A228" s="793"/>
      <c r="B228" s="791"/>
      <c r="C228" s="333" t="s">
        <v>901</v>
      </c>
      <c r="D228" s="331" t="s">
        <v>902</v>
      </c>
      <c r="E228" s="333" t="s">
        <v>876</v>
      </c>
      <c r="F228" s="333" t="s">
        <v>903</v>
      </c>
      <c r="G228" s="374">
        <v>42795</v>
      </c>
      <c r="H228" s="376" t="s">
        <v>60</v>
      </c>
      <c r="I228" s="247">
        <v>14.48</v>
      </c>
      <c r="J228" s="810"/>
    </row>
    <row r="229" spans="1:10" x14ac:dyDescent="0.25">
      <c r="A229" s="793"/>
      <c r="B229" s="791"/>
      <c r="C229" s="333" t="s">
        <v>904</v>
      </c>
      <c r="D229" s="331" t="s">
        <v>872</v>
      </c>
      <c r="E229" s="333">
        <v>36342266</v>
      </c>
      <c r="F229" s="333" t="s">
        <v>893</v>
      </c>
      <c r="G229" s="371">
        <v>42795</v>
      </c>
      <c r="H229" s="376" t="s">
        <v>60</v>
      </c>
      <c r="I229" s="247">
        <v>17.43</v>
      </c>
      <c r="J229" s="810"/>
    </row>
    <row r="230" spans="1:10" x14ac:dyDescent="0.25">
      <c r="A230" s="793">
        <v>278</v>
      </c>
      <c r="B230" s="791" t="s">
        <v>913</v>
      </c>
      <c r="C230" s="333" t="s">
        <v>899</v>
      </c>
      <c r="D230" s="331" t="s">
        <v>851</v>
      </c>
      <c r="E230" s="333" t="s">
        <v>852</v>
      </c>
      <c r="F230" s="332" t="s">
        <v>900</v>
      </c>
      <c r="G230" s="374">
        <v>42795</v>
      </c>
      <c r="H230" s="360" t="s">
        <v>60</v>
      </c>
      <c r="I230" s="358">
        <v>2.2000000000000002</v>
      </c>
      <c r="J230" s="810">
        <v>1.65</v>
      </c>
    </row>
    <row r="231" spans="1:10" x14ac:dyDescent="0.25">
      <c r="A231" s="793"/>
      <c r="B231" s="791"/>
      <c r="C231" s="333" t="s">
        <v>901</v>
      </c>
      <c r="D231" s="331" t="s">
        <v>902</v>
      </c>
      <c r="E231" s="333" t="s">
        <v>876</v>
      </c>
      <c r="F231" s="333" t="s">
        <v>903</v>
      </c>
      <c r="G231" s="374">
        <v>42795</v>
      </c>
      <c r="H231" s="376" t="s">
        <v>60</v>
      </c>
      <c r="I231" s="247">
        <v>1.53</v>
      </c>
      <c r="J231" s="810"/>
    </row>
    <row r="232" spans="1:10" x14ac:dyDescent="0.25">
      <c r="A232" s="793"/>
      <c r="B232" s="791"/>
      <c r="C232" s="333" t="s">
        <v>904</v>
      </c>
      <c r="D232" s="331" t="s">
        <v>872</v>
      </c>
      <c r="E232" s="333">
        <v>36342266</v>
      </c>
      <c r="F232" s="333" t="s">
        <v>893</v>
      </c>
      <c r="G232" s="371">
        <v>42795</v>
      </c>
      <c r="H232" s="376" t="s">
        <v>60</v>
      </c>
      <c r="I232" s="247">
        <v>1.65</v>
      </c>
      <c r="J232" s="810"/>
    </row>
    <row r="233" spans="1:10" x14ac:dyDescent="0.25">
      <c r="A233" s="793">
        <v>279</v>
      </c>
      <c r="B233" s="791" t="s">
        <v>914</v>
      </c>
      <c r="C233" s="333" t="s">
        <v>899</v>
      </c>
      <c r="D233" s="331" t="s">
        <v>851</v>
      </c>
      <c r="E233" s="333" t="s">
        <v>852</v>
      </c>
      <c r="F233" s="332" t="s">
        <v>900</v>
      </c>
      <c r="G233" s="374">
        <v>42795</v>
      </c>
      <c r="H233" s="360" t="s">
        <v>60</v>
      </c>
      <c r="I233" s="358">
        <v>5</v>
      </c>
      <c r="J233" s="810">
        <v>4.47</v>
      </c>
    </row>
    <row r="234" spans="1:10" x14ac:dyDescent="0.25">
      <c r="A234" s="793"/>
      <c r="B234" s="791"/>
      <c r="C234" s="333" t="s">
        <v>901</v>
      </c>
      <c r="D234" s="331" t="s">
        <v>902</v>
      </c>
      <c r="E234" s="333" t="s">
        <v>876</v>
      </c>
      <c r="F234" s="333" t="s">
        <v>903</v>
      </c>
      <c r="G234" s="374">
        <v>42795</v>
      </c>
      <c r="H234" s="376" t="s">
        <v>60</v>
      </c>
      <c r="I234" s="247">
        <v>3.65</v>
      </c>
      <c r="J234" s="810"/>
    </row>
    <row r="235" spans="1:10" x14ac:dyDescent="0.25">
      <c r="A235" s="793"/>
      <c r="B235" s="791"/>
      <c r="C235" s="333" t="s">
        <v>904</v>
      </c>
      <c r="D235" s="331" t="s">
        <v>872</v>
      </c>
      <c r="E235" s="333">
        <v>36342266</v>
      </c>
      <c r="F235" s="333" t="s">
        <v>893</v>
      </c>
      <c r="G235" s="371">
        <v>42795</v>
      </c>
      <c r="H235" s="376" t="s">
        <v>60</v>
      </c>
      <c r="I235" s="247">
        <v>4.47</v>
      </c>
      <c r="J235" s="810"/>
    </row>
    <row r="236" spans="1:10" x14ac:dyDescent="0.25">
      <c r="A236" s="793">
        <v>280</v>
      </c>
      <c r="B236" s="791" t="s">
        <v>915</v>
      </c>
      <c r="C236" s="333" t="s">
        <v>899</v>
      </c>
      <c r="D236" s="331" t="s">
        <v>851</v>
      </c>
      <c r="E236" s="333" t="s">
        <v>852</v>
      </c>
      <c r="F236" s="332" t="s">
        <v>900</v>
      </c>
      <c r="G236" s="374">
        <v>42795</v>
      </c>
      <c r="H236" s="360" t="s">
        <v>60</v>
      </c>
      <c r="I236" s="370">
        <v>3.33</v>
      </c>
      <c r="J236" s="792">
        <v>3.26</v>
      </c>
    </row>
    <row r="237" spans="1:10" x14ac:dyDescent="0.25">
      <c r="A237" s="793"/>
      <c r="B237" s="791"/>
      <c r="C237" s="333" t="s">
        <v>901</v>
      </c>
      <c r="D237" s="331" t="s">
        <v>902</v>
      </c>
      <c r="E237" s="333" t="s">
        <v>876</v>
      </c>
      <c r="F237" s="333" t="s">
        <v>903</v>
      </c>
      <c r="G237" s="374">
        <v>42795</v>
      </c>
      <c r="H237" s="376" t="s">
        <v>60</v>
      </c>
      <c r="I237" s="370">
        <v>1.92</v>
      </c>
      <c r="J237" s="792"/>
    </row>
    <row r="238" spans="1:10" ht="15.75" thickBot="1" x14ac:dyDescent="0.3">
      <c r="A238" s="793"/>
      <c r="B238" s="791"/>
      <c r="C238" s="333" t="s">
        <v>904</v>
      </c>
      <c r="D238" s="331" t="s">
        <v>872</v>
      </c>
      <c r="E238" s="333">
        <v>36342266</v>
      </c>
      <c r="F238" s="333" t="s">
        <v>893</v>
      </c>
      <c r="G238" s="371">
        <v>42795</v>
      </c>
      <c r="H238" s="376" t="s">
        <v>60</v>
      </c>
      <c r="I238" s="370">
        <v>3.26</v>
      </c>
      <c r="J238" s="792"/>
    </row>
    <row r="239" spans="1:10" x14ac:dyDescent="0.25">
      <c r="A239" s="801">
        <v>137</v>
      </c>
      <c r="B239" s="804" t="s">
        <v>916</v>
      </c>
      <c r="C239" s="391" t="s">
        <v>917</v>
      </c>
      <c r="D239" s="392" t="s">
        <v>918</v>
      </c>
      <c r="E239" s="391"/>
      <c r="F239" s="391" t="s">
        <v>919</v>
      </c>
      <c r="G239" s="393">
        <v>42856</v>
      </c>
      <c r="H239" s="394" t="s">
        <v>60</v>
      </c>
      <c r="I239" s="395">
        <v>3200</v>
      </c>
      <c r="J239" s="807">
        <v>3200</v>
      </c>
    </row>
    <row r="240" spans="1:10" x14ac:dyDescent="0.25">
      <c r="A240" s="802"/>
      <c r="B240" s="805"/>
      <c r="C240" s="373" t="s">
        <v>920</v>
      </c>
      <c r="D240" s="396" t="s">
        <v>811</v>
      </c>
      <c r="E240" s="373" t="s">
        <v>812</v>
      </c>
      <c r="F240" s="373"/>
      <c r="G240" s="361">
        <v>42856</v>
      </c>
      <c r="H240" s="397" t="s">
        <v>60</v>
      </c>
      <c r="I240" s="390">
        <v>4005.3</v>
      </c>
      <c r="J240" s="808"/>
    </row>
    <row r="241" spans="1:10" ht="15.75" thickBot="1" x14ac:dyDescent="0.3">
      <c r="A241" s="803"/>
      <c r="B241" s="806"/>
      <c r="C241" s="398" t="s">
        <v>921</v>
      </c>
      <c r="D241" s="399" t="s">
        <v>922</v>
      </c>
      <c r="E241" s="398" t="s">
        <v>923</v>
      </c>
      <c r="F241" s="398" t="s">
        <v>924</v>
      </c>
      <c r="G241" s="400">
        <v>42917</v>
      </c>
      <c r="H241" s="401" t="s">
        <v>60</v>
      </c>
      <c r="I241" s="402">
        <v>1194</v>
      </c>
      <c r="J241" s="809"/>
    </row>
    <row r="242" spans="1:10" x14ac:dyDescent="0.25">
      <c r="A242" s="793">
        <v>185</v>
      </c>
      <c r="B242" s="791" t="s">
        <v>925</v>
      </c>
      <c r="C242" s="333" t="s">
        <v>926</v>
      </c>
      <c r="D242" s="331" t="s">
        <v>927</v>
      </c>
      <c r="E242" s="333" t="s">
        <v>928</v>
      </c>
      <c r="F242" s="333" t="s">
        <v>929</v>
      </c>
      <c r="G242" s="336">
        <v>42795</v>
      </c>
      <c r="H242" s="335" t="s">
        <v>60</v>
      </c>
      <c r="I242" s="358">
        <v>4.6100000000000003</v>
      </c>
      <c r="J242" s="792">
        <v>7.1</v>
      </c>
    </row>
    <row r="243" spans="1:10" x14ac:dyDescent="0.25">
      <c r="A243" s="793"/>
      <c r="B243" s="791"/>
      <c r="C243" s="333" t="s">
        <v>930</v>
      </c>
      <c r="D243" s="331"/>
      <c r="E243" s="333">
        <v>36143500</v>
      </c>
      <c r="F243" s="333" t="s">
        <v>931</v>
      </c>
      <c r="G243" s="336">
        <v>42795</v>
      </c>
      <c r="H243" s="335" t="s">
        <v>60</v>
      </c>
      <c r="I243" s="358">
        <v>7.1</v>
      </c>
      <c r="J243" s="792"/>
    </row>
    <row r="244" spans="1:10" x14ac:dyDescent="0.25">
      <c r="A244" s="793"/>
      <c r="B244" s="791"/>
      <c r="C244" s="333" t="s">
        <v>932</v>
      </c>
      <c r="D244" s="331" t="s">
        <v>933</v>
      </c>
      <c r="E244" s="403" t="s">
        <v>3891</v>
      </c>
      <c r="F244" s="333" t="s">
        <v>934</v>
      </c>
      <c r="G244" s="336">
        <v>42795</v>
      </c>
      <c r="H244" s="335" t="s">
        <v>60</v>
      </c>
      <c r="I244" s="358">
        <v>12.72</v>
      </c>
      <c r="J244" s="792"/>
    </row>
    <row r="245" spans="1:10" x14ac:dyDescent="0.25">
      <c r="A245" s="793">
        <v>148</v>
      </c>
      <c r="B245" s="791" t="s">
        <v>342</v>
      </c>
      <c r="C245" s="362" t="s">
        <v>935</v>
      </c>
      <c r="D245" s="363" t="s">
        <v>936</v>
      </c>
      <c r="E245" s="362" t="s">
        <v>937</v>
      </c>
      <c r="F245" s="362" t="s">
        <v>938</v>
      </c>
      <c r="G245" s="334">
        <v>42826</v>
      </c>
      <c r="H245" s="364" t="s">
        <v>60</v>
      </c>
      <c r="I245" s="355">
        <v>1450</v>
      </c>
      <c r="J245" s="792">
        <v>1500</v>
      </c>
    </row>
    <row r="246" spans="1:10" x14ac:dyDescent="0.25">
      <c r="A246" s="793"/>
      <c r="B246" s="791"/>
      <c r="C246" s="362" t="s">
        <v>939</v>
      </c>
      <c r="D246" s="363" t="s">
        <v>940</v>
      </c>
      <c r="E246" s="362" t="s">
        <v>941</v>
      </c>
      <c r="F246" s="362" t="s">
        <v>942</v>
      </c>
      <c r="G246" s="334">
        <v>42795</v>
      </c>
      <c r="H246" s="364" t="s">
        <v>60</v>
      </c>
      <c r="I246" s="355">
        <v>1820</v>
      </c>
      <c r="J246" s="792"/>
    </row>
    <row r="247" spans="1:10" x14ac:dyDescent="0.25">
      <c r="A247" s="793"/>
      <c r="B247" s="791"/>
      <c r="C247" s="365" t="s">
        <v>943</v>
      </c>
      <c r="D247" s="363" t="s">
        <v>944</v>
      </c>
      <c r="E247" s="362" t="s">
        <v>945</v>
      </c>
      <c r="F247" s="362" t="s">
        <v>946</v>
      </c>
      <c r="G247" s="371">
        <v>42826</v>
      </c>
      <c r="H247" s="368" t="s">
        <v>60</v>
      </c>
      <c r="I247" s="369">
        <v>1500</v>
      </c>
      <c r="J247" s="792"/>
    </row>
    <row r="248" spans="1:10" x14ac:dyDescent="0.25">
      <c r="A248" s="793">
        <v>144</v>
      </c>
      <c r="B248" s="791" t="s">
        <v>947</v>
      </c>
      <c r="C248" s="404" t="s">
        <v>948</v>
      </c>
      <c r="D248" s="405" t="s">
        <v>949</v>
      </c>
      <c r="E248" s="404">
        <v>36272588</v>
      </c>
      <c r="F248" s="404" t="s">
        <v>950</v>
      </c>
      <c r="G248" s="357">
        <v>42758</v>
      </c>
      <c r="H248" s="406" t="s">
        <v>60</v>
      </c>
      <c r="I248" s="370">
        <v>3500</v>
      </c>
      <c r="J248" s="792">
        <v>3800</v>
      </c>
    </row>
    <row r="249" spans="1:10" x14ac:dyDescent="0.25">
      <c r="A249" s="793"/>
      <c r="B249" s="791"/>
      <c r="C249" s="404" t="s">
        <v>951</v>
      </c>
      <c r="D249" s="405" t="s">
        <v>952</v>
      </c>
      <c r="E249" s="404">
        <v>33646642</v>
      </c>
      <c r="F249" s="404"/>
      <c r="G249" s="357">
        <v>42758</v>
      </c>
      <c r="H249" s="406" t="s">
        <v>60</v>
      </c>
      <c r="I249" s="370">
        <v>3800</v>
      </c>
      <c r="J249" s="792"/>
    </row>
    <row r="250" spans="1:10" x14ac:dyDescent="0.25">
      <c r="A250" s="793"/>
      <c r="B250" s="791"/>
      <c r="C250" s="404" t="s">
        <v>953</v>
      </c>
      <c r="D250" s="405" t="s">
        <v>954</v>
      </c>
      <c r="E250" s="404">
        <v>36242644</v>
      </c>
      <c r="F250" s="404"/>
      <c r="G250" s="357">
        <v>42758</v>
      </c>
      <c r="H250" s="406" t="s">
        <v>60</v>
      </c>
      <c r="I250" s="370">
        <v>4000</v>
      </c>
      <c r="J250" s="792"/>
    </row>
    <row r="251" spans="1:10" x14ac:dyDescent="0.25">
      <c r="A251" s="793">
        <v>116</v>
      </c>
      <c r="B251" s="791" t="s">
        <v>3892</v>
      </c>
      <c r="C251" s="333" t="s">
        <v>3893</v>
      </c>
      <c r="D251" s="331" t="s">
        <v>3894</v>
      </c>
      <c r="E251" s="333">
        <v>30272090</v>
      </c>
      <c r="F251" s="333" t="s">
        <v>3895</v>
      </c>
      <c r="G251" s="336">
        <v>42758</v>
      </c>
      <c r="H251" s="335" t="s">
        <v>60</v>
      </c>
      <c r="I251" s="247">
        <v>1840</v>
      </c>
      <c r="J251" s="792">
        <v>1630</v>
      </c>
    </row>
    <row r="252" spans="1:10" x14ac:dyDescent="0.25">
      <c r="A252" s="793"/>
      <c r="B252" s="791"/>
      <c r="C252" s="333" t="s">
        <v>3896</v>
      </c>
      <c r="D252" s="331" t="s">
        <v>3897</v>
      </c>
      <c r="E252" s="333">
        <v>36315436</v>
      </c>
      <c r="F252" s="333" t="s">
        <v>3898</v>
      </c>
      <c r="G252" s="336">
        <v>42736</v>
      </c>
      <c r="H252" s="335" t="s">
        <v>60</v>
      </c>
      <c r="I252" s="247">
        <v>1420</v>
      </c>
      <c r="J252" s="792"/>
    </row>
    <row r="253" spans="1:10" x14ac:dyDescent="0.25">
      <c r="A253" s="793"/>
      <c r="B253" s="791"/>
      <c r="C253" s="362"/>
      <c r="D253" s="363"/>
      <c r="E253" s="362"/>
      <c r="F253" s="362"/>
      <c r="G253" s="371"/>
      <c r="H253" s="368"/>
      <c r="I253" s="369"/>
      <c r="J253" s="792"/>
    </row>
    <row r="254" spans="1:10" x14ac:dyDescent="0.25">
      <c r="A254" s="793">
        <v>54</v>
      </c>
      <c r="B254" s="791" t="s">
        <v>3899</v>
      </c>
      <c r="C254" s="333" t="s">
        <v>3900</v>
      </c>
      <c r="D254" s="331"/>
      <c r="E254" s="333">
        <v>993255573</v>
      </c>
      <c r="F254" s="333" t="s">
        <v>3901</v>
      </c>
      <c r="G254" s="334">
        <v>42917</v>
      </c>
      <c r="H254" s="335" t="s">
        <v>60</v>
      </c>
      <c r="I254" s="247">
        <v>10000</v>
      </c>
      <c r="J254" s="792">
        <v>7400</v>
      </c>
    </row>
    <row r="255" spans="1:10" x14ac:dyDescent="0.25">
      <c r="A255" s="793"/>
      <c r="B255" s="791"/>
      <c r="C255" s="333" t="s">
        <v>3902</v>
      </c>
      <c r="D255" s="331"/>
      <c r="E255" s="333">
        <v>99067987</v>
      </c>
      <c r="F255" s="333" t="s">
        <v>3903</v>
      </c>
      <c r="G255" s="334">
        <v>42917</v>
      </c>
      <c r="H255" s="335" t="s">
        <v>60</v>
      </c>
      <c r="I255" s="247">
        <v>4800</v>
      </c>
      <c r="J255" s="792"/>
    </row>
    <row r="256" spans="1:10" x14ac:dyDescent="0.25">
      <c r="A256" s="793"/>
      <c r="B256" s="791"/>
      <c r="C256" s="407"/>
      <c r="D256" s="331"/>
      <c r="E256" s="333"/>
      <c r="F256" s="333"/>
      <c r="G256" s="334"/>
      <c r="H256" s="335"/>
      <c r="I256" s="247"/>
      <c r="J256" s="792"/>
    </row>
    <row r="257" spans="1:10" x14ac:dyDescent="0.25">
      <c r="A257" s="793">
        <v>161</v>
      </c>
      <c r="B257" s="791" t="s">
        <v>955</v>
      </c>
      <c r="C257" s="330" t="s">
        <v>956</v>
      </c>
      <c r="D257" s="359"/>
      <c r="E257" s="332">
        <v>36533888</v>
      </c>
      <c r="F257" s="332" t="s">
        <v>957</v>
      </c>
      <c r="G257" s="374">
        <v>42736</v>
      </c>
      <c r="H257" s="360" t="s">
        <v>60</v>
      </c>
      <c r="I257" s="358">
        <v>245</v>
      </c>
      <c r="J257" s="792">
        <v>290</v>
      </c>
    </row>
    <row r="258" spans="1:10" x14ac:dyDescent="0.25">
      <c r="A258" s="793"/>
      <c r="B258" s="791"/>
      <c r="C258" s="330" t="s">
        <v>958</v>
      </c>
      <c r="D258" s="372"/>
      <c r="E258" s="373">
        <v>981347498</v>
      </c>
      <c r="F258" s="373" t="s">
        <v>959</v>
      </c>
      <c r="G258" s="374">
        <v>42736</v>
      </c>
      <c r="H258" s="360" t="s">
        <v>60</v>
      </c>
      <c r="I258" s="358">
        <v>290</v>
      </c>
      <c r="J258" s="792"/>
    </row>
    <row r="259" spans="1:10" x14ac:dyDescent="0.25">
      <c r="A259" s="793"/>
      <c r="B259" s="791"/>
      <c r="C259" s="330" t="s">
        <v>960</v>
      </c>
      <c r="D259" s="359" t="s">
        <v>961</v>
      </c>
      <c r="E259" s="332">
        <v>36242644</v>
      </c>
      <c r="F259" s="332" t="s">
        <v>929</v>
      </c>
      <c r="G259" s="374">
        <v>42736</v>
      </c>
      <c r="H259" s="360" t="s">
        <v>60</v>
      </c>
      <c r="I259" s="358">
        <v>490</v>
      </c>
      <c r="J259" s="792"/>
    </row>
    <row r="260" spans="1:10" x14ac:dyDescent="0.25">
      <c r="A260" s="793">
        <v>190</v>
      </c>
      <c r="B260" s="791" t="s">
        <v>962</v>
      </c>
      <c r="C260" s="408" t="s">
        <v>951</v>
      </c>
      <c r="D260" s="405" t="s">
        <v>952</v>
      </c>
      <c r="E260" s="404">
        <v>36251845</v>
      </c>
      <c r="F260" s="404" t="s">
        <v>963</v>
      </c>
      <c r="G260" s="357">
        <v>42736</v>
      </c>
      <c r="H260" s="406" t="s">
        <v>60</v>
      </c>
      <c r="I260" s="370">
        <v>240</v>
      </c>
      <c r="J260" s="792">
        <v>280</v>
      </c>
    </row>
    <row r="261" spans="1:10" x14ac:dyDescent="0.25">
      <c r="A261" s="793"/>
      <c r="B261" s="791"/>
      <c r="C261" s="408" t="s">
        <v>964</v>
      </c>
      <c r="D261" s="405" t="s">
        <v>965</v>
      </c>
      <c r="E261" s="404">
        <v>33643885</v>
      </c>
      <c r="F261" s="404" t="s">
        <v>966</v>
      </c>
      <c r="G261" s="357">
        <v>42736</v>
      </c>
      <c r="H261" s="406" t="s">
        <v>60</v>
      </c>
      <c r="I261" s="370">
        <v>310</v>
      </c>
      <c r="J261" s="792"/>
    </row>
    <row r="262" spans="1:10" x14ac:dyDescent="0.25">
      <c r="A262" s="793"/>
      <c r="B262" s="791"/>
      <c r="C262" s="408" t="s">
        <v>967</v>
      </c>
      <c r="D262" s="405" t="s">
        <v>968</v>
      </c>
      <c r="E262" s="404">
        <v>36372827</v>
      </c>
      <c r="F262" s="404" t="s">
        <v>929</v>
      </c>
      <c r="G262" s="357">
        <v>42736</v>
      </c>
      <c r="H262" s="406" t="s">
        <v>60</v>
      </c>
      <c r="I262" s="370">
        <v>280</v>
      </c>
      <c r="J262" s="792"/>
    </row>
    <row r="263" spans="1:10" x14ac:dyDescent="0.25">
      <c r="A263" s="793">
        <v>145</v>
      </c>
      <c r="B263" s="791" t="s">
        <v>969</v>
      </c>
      <c r="C263" s="362" t="s">
        <v>970</v>
      </c>
      <c r="D263" s="363" t="s">
        <v>971</v>
      </c>
      <c r="E263" s="362" t="s">
        <v>972</v>
      </c>
      <c r="F263" s="367" t="s">
        <v>877</v>
      </c>
      <c r="G263" s="371">
        <v>42795</v>
      </c>
      <c r="H263" s="368" t="s">
        <v>60</v>
      </c>
      <c r="I263" s="369">
        <v>941</v>
      </c>
      <c r="J263" s="792">
        <v>941</v>
      </c>
    </row>
    <row r="264" spans="1:10" x14ac:dyDescent="0.25">
      <c r="A264" s="793"/>
      <c r="B264" s="791"/>
      <c r="C264" s="362"/>
      <c r="D264" s="363"/>
      <c r="E264" s="362"/>
      <c r="F264" s="367"/>
      <c r="G264" s="371"/>
      <c r="H264" s="368"/>
      <c r="I264" s="355"/>
      <c r="J264" s="792"/>
    </row>
    <row r="265" spans="1:10" x14ac:dyDescent="0.25">
      <c r="A265" s="793"/>
      <c r="B265" s="791"/>
      <c r="C265" s="362"/>
      <c r="D265" s="366"/>
      <c r="E265" s="367"/>
      <c r="F265" s="362"/>
      <c r="G265" s="371"/>
      <c r="H265" s="368"/>
      <c r="I265" s="355"/>
      <c r="J265" s="792"/>
    </row>
    <row r="266" spans="1:10" x14ac:dyDescent="0.25">
      <c r="A266" s="793">
        <v>75</v>
      </c>
      <c r="B266" s="791" t="s">
        <v>973</v>
      </c>
      <c r="C266" s="330" t="s">
        <v>974</v>
      </c>
      <c r="D266" s="331" t="s">
        <v>882</v>
      </c>
      <c r="E266" s="332" t="s">
        <v>975</v>
      </c>
      <c r="F266" s="335" t="s">
        <v>976</v>
      </c>
      <c r="G266" s="374">
        <v>42948</v>
      </c>
      <c r="H266" s="360" t="s">
        <v>60</v>
      </c>
      <c r="I266" s="358">
        <v>129.9</v>
      </c>
      <c r="J266" s="792">
        <v>129.94999999999999</v>
      </c>
    </row>
    <row r="267" spans="1:10" x14ac:dyDescent="0.25">
      <c r="A267" s="793"/>
      <c r="B267" s="791"/>
      <c r="C267" s="330" t="s">
        <v>977</v>
      </c>
      <c r="D267" s="331" t="s">
        <v>978</v>
      </c>
      <c r="E267" s="332" t="s">
        <v>979</v>
      </c>
      <c r="F267" s="335" t="s">
        <v>980</v>
      </c>
      <c r="G267" s="374">
        <v>42948</v>
      </c>
      <c r="H267" s="360" t="s">
        <v>60</v>
      </c>
      <c r="I267" s="358">
        <v>129.94999999999999</v>
      </c>
      <c r="J267" s="792"/>
    </row>
    <row r="268" spans="1:10" x14ac:dyDescent="0.25">
      <c r="A268" s="793"/>
      <c r="B268" s="791"/>
      <c r="C268" s="330" t="s">
        <v>745</v>
      </c>
      <c r="D268" s="331" t="s">
        <v>746</v>
      </c>
      <c r="E268" s="332" t="s">
        <v>747</v>
      </c>
      <c r="F268" s="335" t="s">
        <v>981</v>
      </c>
      <c r="G268" s="374">
        <v>42948</v>
      </c>
      <c r="H268" s="360" t="s">
        <v>60</v>
      </c>
      <c r="I268" s="358">
        <v>142.38999999999999</v>
      </c>
      <c r="J268" s="792"/>
    </row>
    <row r="269" spans="1:10" x14ac:dyDescent="0.25">
      <c r="A269" s="793">
        <v>162</v>
      </c>
      <c r="B269" s="791" t="s">
        <v>982</v>
      </c>
      <c r="C269" s="330" t="s">
        <v>956</v>
      </c>
      <c r="D269" s="359" t="s">
        <v>983</v>
      </c>
      <c r="E269" s="332">
        <v>36533888</v>
      </c>
      <c r="F269" s="332" t="s">
        <v>957</v>
      </c>
      <c r="G269" s="374">
        <v>42767</v>
      </c>
      <c r="H269" s="360" t="s">
        <v>60</v>
      </c>
      <c r="I269" s="358">
        <v>105</v>
      </c>
      <c r="J269" s="792">
        <v>180</v>
      </c>
    </row>
    <row r="270" spans="1:10" x14ac:dyDescent="0.25">
      <c r="A270" s="793"/>
      <c r="B270" s="791"/>
      <c r="C270" s="330" t="s">
        <v>960</v>
      </c>
      <c r="D270" s="359" t="s">
        <v>961</v>
      </c>
      <c r="E270" s="332" t="s">
        <v>984</v>
      </c>
      <c r="F270" s="332" t="s">
        <v>929</v>
      </c>
      <c r="G270" s="374">
        <v>42767</v>
      </c>
      <c r="H270" s="360" t="s">
        <v>60</v>
      </c>
      <c r="I270" s="358">
        <v>200</v>
      </c>
      <c r="J270" s="792"/>
    </row>
    <row r="271" spans="1:10" x14ac:dyDescent="0.25">
      <c r="A271" s="793"/>
      <c r="B271" s="791"/>
      <c r="C271" s="330" t="s">
        <v>985</v>
      </c>
      <c r="D271" s="359" t="s">
        <v>986</v>
      </c>
      <c r="E271" s="332" t="s">
        <v>987</v>
      </c>
      <c r="F271" s="332" t="s">
        <v>988</v>
      </c>
      <c r="G271" s="374">
        <v>42767</v>
      </c>
      <c r="H271" s="360" t="s">
        <v>60</v>
      </c>
      <c r="I271" s="358">
        <v>180</v>
      </c>
      <c r="J271" s="792"/>
    </row>
    <row r="272" spans="1:10" x14ac:dyDescent="0.25">
      <c r="A272" s="793">
        <v>189</v>
      </c>
      <c r="B272" s="791" t="s">
        <v>989</v>
      </c>
      <c r="C272" s="330" t="s">
        <v>990</v>
      </c>
      <c r="D272" s="359" t="s">
        <v>991</v>
      </c>
      <c r="E272" s="332" t="s">
        <v>992</v>
      </c>
      <c r="F272" s="332" t="s">
        <v>993</v>
      </c>
      <c r="G272" s="374">
        <v>42767</v>
      </c>
      <c r="H272" s="360" t="s">
        <v>60</v>
      </c>
      <c r="I272" s="358">
        <v>3600</v>
      </c>
      <c r="J272" s="792">
        <v>2250</v>
      </c>
    </row>
    <row r="273" spans="1:10" x14ac:dyDescent="0.25">
      <c r="A273" s="793"/>
      <c r="B273" s="791"/>
      <c r="C273" s="408" t="s">
        <v>994</v>
      </c>
      <c r="D273" s="405" t="s">
        <v>995</v>
      </c>
      <c r="E273" s="408" t="s">
        <v>987</v>
      </c>
      <c r="F273" s="408" t="s">
        <v>988</v>
      </c>
      <c r="G273" s="357">
        <v>42767</v>
      </c>
      <c r="H273" s="406" t="s">
        <v>60</v>
      </c>
      <c r="I273" s="370">
        <v>2250</v>
      </c>
      <c r="J273" s="792"/>
    </row>
    <row r="274" spans="1:10" x14ac:dyDescent="0.25">
      <c r="A274" s="793"/>
      <c r="B274" s="791"/>
      <c r="C274" s="408" t="s">
        <v>996</v>
      </c>
      <c r="D274" s="405" t="s">
        <v>997</v>
      </c>
      <c r="E274" s="404" t="s">
        <v>998</v>
      </c>
      <c r="F274" s="404" t="s">
        <v>999</v>
      </c>
      <c r="G274" s="357">
        <v>42767</v>
      </c>
      <c r="H274" s="406" t="s">
        <v>60</v>
      </c>
      <c r="I274" s="370">
        <v>1800</v>
      </c>
      <c r="J274" s="792"/>
    </row>
    <row r="275" spans="1:10" x14ac:dyDescent="0.25">
      <c r="A275" s="793">
        <v>248</v>
      </c>
      <c r="B275" s="791" t="s">
        <v>3904</v>
      </c>
      <c r="C275" s="333" t="s">
        <v>3905</v>
      </c>
      <c r="D275" s="331" t="s">
        <v>3906</v>
      </c>
      <c r="E275" s="333">
        <v>92786775</v>
      </c>
      <c r="F275" s="333" t="s">
        <v>893</v>
      </c>
      <c r="G275" s="336">
        <v>42767</v>
      </c>
      <c r="H275" s="335" t="s">
        <v>60</v>
      </c>
      <c r="I275" s="358">
        <v>1400</v>
      </c>
      <c r="J275" s="792">
        <v>1400</v>
      </c>
    </row>
    <row r="276" spans="1:10" x14ac:dyDescent="0.25">
      <c r="A276" s="793"/>
      <c r="B276" s="791"/>
      <c r="C276" s="333" t="s">
        <v>3809</v>
      </c>
      <c r="D276" s="331" t="s">
        <v>777</v>
      </c>
      <c r="E276" s="333">
        <v>36532049</v>
      </c>
      <c r="F276" s="333" t="s">
        <v>3907</v>
      </c>
      <c r="G276" s="336">
        <v>42767</v>
      </c>
      <c r="H276" s="335" t="s">
        <v>60</v>
      </c>
      <c r="I276" s="358">
        <v>450</v>
      </c>
      <c r="J276" s="792"/>
    </row>
    <row r="277" spans="1:10" x14ac:dyDescent="0.25">
      <c r="A277" s="793"/>
      <c r="B277" s="791"/>
      <c r="C277" s="333" t="s">
        <v>3908</v>
      </c>
      <c r="D277" s="331" t="s">
        <v>3909</v>
      </c>
      <c r="E277" s="333">
        <v>84589142</v>
      </c>
      <c r="F277" s="333" t="s">
        <v>3828</v>
      </c>
      <c r="G277" s="336">
        <v>42767</v>
      </c>
      <c r="H277" s="335" t="s">
        <v>60</v>
      </c>
      <c r="I277" s="358">
        <v>1470</v>
      </c>
      <c r="J277" s="792"/>
    </row>
    <row r="278" spans="1:10" x14ac:dyDescent="0.25">
      <c r="A278" s="793">
        <v>214</v>
      </c>
      <c r="B278" s="791" t="s">
        <v>1000</v>
      </c>
      <c r="C278" s="333" t="s">
        <v>796</v>
      </c>
      <c r="D278" s="331" t="s">
        <v>797</v>
      </c>
      <c r="E278" s="333" t="s">
        <v>798</v>
      </c>
      <c r="F278" s="333" t="s">
        <v>799</v>
      </c>
      <c r="G278" s="357">
        <v>42767</v>
      </c>
      <c r="H278" s="335" t="s">
        <v>61</v>
      </c>
      <c r="I278" s="247">
        <v>420</v>
      </c>
      <c r="J278" s="792">
        <v>455</v>
      </c>
    </row>
    <row r="279" spans="1:10" x14ac:dyDescent="0.25">
      <c r="A279" s="793"/>
      <c r="B279" s="791"/>
      <c r="C279" s="333" t="s">
        <v>800</v>
      </c>
      <c r="D279" s="331" t="s">
        <v>801</v>
      </c>
      <c r="E279" s="333" t="s">
        <v>802</v>
      </c>
      <c r="F279" s="333" t="s">
        <v>803</v>
      </c>
      <c r="G279" s="357">
        <v>42767</v>
      </c>
      <c r="H279" s="335" t="s">
        <v>61</v>
      </c>
      <c r="I279" s="247">
        <v>455</v>
      </c>
      <c r="J279" s="792"/>
    </row>
    <row r="280" spans="1:10" x14ac:dyDescent="0.25">
      <c r="A280" s="793"/>
      <c r="B280" s="791"/>
      <c r="C280" s="333" t="s">
        <v>804</v>
      </c>
      <c r="D280" s="331" t="s">
        <v>805</v>
      </c>
      <c r="E280" s="333" t="s">
        <v>806</v>
      </c>
      <c r="F280" s="333"/>
      <c r="G280" s="357">
        <v>42767</v>
      </c>
      <c r="H280" s="335" t="s">
        <v>61</v>
      </c>
      <c r="I280" s="247">
        <v>480</v>
      </c>
      <c r="J280" s="792"/>
    </row>
    <row r="281" spans="1:10" x14ac:dyDescent="0.25">
      <c r="A281" s="793">
        <v>60</v>
      </c>
      <c r="B281" s="791" t="s">
        <v>3910</v>
      </c>
      <c r="C281" s="333" t="s">
        <v>960</v>
      </c>
      <c r="D281" s="331" t="s">
        <v>961</v>
      </c>
      <c r="E281" s="333">
        <v>33226142</v>
      </c>
      <c r="F281" s="333" t="s">
        <v>929</v>
      </c>
      <c r="G281" s="336">
        <v>42795</v>
      </c>
      <c r="H281" s="335" t="s">
        <v>60</v>
      </c>
      <c r="I281" s="358">
        <v>32</v>
      </c>
      <c r="J281" s="792">
        <v>19.899999999999999</v>
      </c>
    </row>
    <row r="282" spans="1:10" x14ac:dyDescent="0.25">
      <c r="A282" s="793"/>
      <c r="B282" s="791"/>
      <c r="C282" s="333" t="s">
        <v>1002</v>
      </c>
      <c r="D282" s="331"/>
      <c r="E282" s="333">
        <v>20837423</v>
      </c>
      <c r="F282" s="333"/>
      <c r="G282" s="336">
        <v>42795</v>
      </c>
      <c r="H282" s="335" t="s">
        <v>60</v>
      </c>
      <c r="I282" s="358">
        <v>12.5</v>
      </c>
      <c r="J282" s="792"/>
    </row>
    <row r="283" spans="1:10" x14ac:dyDescent="0.25">
      <c r="A283" s="793"/>
      <c r="B283" s="791"/>
      <c r="C283" s="333" t="s">
        <v>932</v>
      </c>
      <c r="D283" s="331" t="s">
        <v>933</v>
      </c>
      <c r="E283" s="403" t="s">
        <v>3891</v>
      </c>
      <c r="F283" s="333"/>
      <c r="G283" s="336">
        <v>42795</v>
      </c>
      <c r="H283" s="335" t="s">
        <v>60</v>
      </c>
      <c r="I283" s="358">
        <v>19.899999999999999</v>
      </c>
      <c r="J283" s="792"/>
    </row>
    <row r="284" spans="1:10" x14ac:dyDescent="0.25">
      <c r="A284" s="793">
        <v>191</v>
      </c>
      <c r="B284" s="791" t="s">
        <v>1001</v>
      </c>
      <c r="C284" s="333" t="s">
        <v>960</v>
      </c>
      <c r="D284" s="331" t="s">
        <v>961</v>
      </c>
      <c r="E284" s="333">
        <v>33226142</v>
      </c>
      <c r="F284" s="333" t="s">
        <v>929</v>
      </c>
      <c r="G284" s="336">
        <v>42795</v>
      </c>
      <c r="H284" s="335" t="s">
        <v>60</v>
      </c>
      <c r="I284" s="358">
        <v>38</v>
      </c>
      <c r="J284" s="792">
        <v>9.9</v>
      </c>
    </row>
    <row r="285" spans="1:10" x14ac:dyDescent="0.25">
      <c r="A285" s="793"/>
      <c r="B285" s="791"/>
      <c r="C285" s="333" t="s">
        <v>1002</v>
      </c>
      <c r="D285" s="331"/>
      <c r="E285" s="333">
        <v>20837423</v>
      </c>
      <c r="F285" s="333"/>
      <c r="G285" s="336">
        <v>42795</v>
      </c>
      <c r="H285" s="335" t="s">
        <v>60</v>
      </c>
      <c r="I285" s="358">
        <v>7</v>
      </c>
      <c r="J285" s="792"/>
    </row>
    <row r="286" spans="1:10" x14ac:dyDescent="0.25">
      <c r="A286" s="793"/>
      <c r="B286" s="791"/>
      <c r="C286" s="333" t="s">
        <v>932</v>
      </c>
      <c r="D286" s="331" t="s">
        <v>933</v>
      </c>
      <c r="E286" s="403" t="s">
        <v>3891</v>
      </c>
      <c r="F286" s="333"/>
      <c r="G286" s="336">
        <v>42795</v>
      </c>
      <c r="H286" s="335" t="s">
        <v>60</v>
      </c>
      <c r="I286" s="358">
        <v>9.9</v>
      </c>
      <c r="J286" s="792"/>
    </row>
    <row r="287" spans="1:10" x14ac:dyDescent="0.25">
      <c r="A287" s="793">
        <v>168</v>
      </c>
      <c r="B287" s="791" t="s">
        <v>540</v>
      </c>
      <c r="C287" s="333" t="s">
        <v>1003</v>
      </c>
      <c r="D287" s="331" t="s">
        <v>961</v>
      </c>
      <c r="E287" s="333">
        <v>33226142</v>
      </c>
      <c r="F287" s="333" t="s">
        <v>1004</v>
      </c>
      <c r="G287" s="336">
        <v>42795</v>
      </c>
      <c r="H287" s="335" t="s">
        <v>60</v>
      </c>
      <c r="I287" s="358">
        <v>4800</v>
      </c>
      <c r="J287" s="792">
        <v>3545</v>
      </c>
    </row>
    <row r="288" spans="1:10" x14ac:dyDescent="0.25">
      <c r="A288" s="793"/>
      <c r="B288" s="791"/>
      <c r="C288" s="333" t="s">
        <v>932</v>
      </c>
      <c r="D288" s="331" t="s">
        <v>933</v>
      </c>
      <c r="E288" s="333" t="s">
        <v>1005</v>
      </c>
      <c r="F288" s="333" t="s">
        <v>934</v>
      </c>
      <c r="G288" s="336">
        <v>42795</v>
      </c>
      <c r="H288" s="335" t="s">
        <v>60</v>
      </c>
      <c r="I288" s="358">
        <v>2290</v>
      </c>
      <c r="J288" s="792"/>
    </row>
    <row r="289" spans="1:10" x14ac:dyDescent="0.25">
      <c r="A289" s="793"/>
      <c r="B289" s="791"/>
      <c r="C289" s="362"/>
      <c r="D289" s="363"/>
      <c r="E289" s="362"/>
      <c r="F289" s="362"/>
      <c r="G289" s="334"/>
      <c r="H289" s="364"/>
      <c r="I289" s="369"/>
      <c r="J289" s="792"/>
    </row>
    <row r="290" spans="1:10" x14ac:dyDescent="0.25">
      <c r="A290" s="793">
        <v>252</v>
      </c>
      <c r="B290" s="791" t="s">
        <v>3911</v>
      </c>
      <c r="C290" s="333" t="s">
        <v>3912</v>
      </c>
      <c r="D290" s="331" t="s">
        <v>3913</v>
      </c>
      <c r="E290" s="333" t="s">
        <v>3914</v>
      </c>
      <c r="F290" s="333" t="s">
        <v>3915</v>
      </c>
      <c r="G290" s="334">
        <v>42675</v>
      </c>
      <c r="H290" s="335" t="s">
        <v>60</v>
      </c>
      <c r="I290" s="358">
        <v>2.5</v>
      </c>
      <c r="J290" s="792">
        <v>3</v>
      </c>
    </row>
    <row r="291" spans="1:10" x14ac:dyDescent="0.25">
      <c r="A291" s="793"/>
      <c r="B291" s="791"/>
      <c r="C291" s="333" t="s">
        <v>3916</v>
      </c>
      <c r="D291" s="331" t="s">
        <v>3917</v>
      </c>
      <c r="E291" s="333"/>
      <c r="F291" s="333"/>
      <c r="G291" s="334">
        <v>42675</v>
      </c>
      <c r="H291" s="335" t="s">
        <v>60</v>
      </c>
      <c r="I291" s="358">
        <v>3</v>
      </c>
      <c r="J291" s="792"/>
    </row>
    <row r="292" spans="1:10" x14ac:dyDescent="0.25">
      <c r="A292" s="793"/>
      <c r="B292" s="791"/>
      <c r="C292" s="333" t="s">
        <v>3918</v>
      </c>
      <c r="D292" s="331" t="s">
        <v>3919</v>
      </c>
      <c r="E292" s="333" t="s">
        <v>3920</v>
      </c>
      <c r="F292" s="333"/>
      <c r="G292" s="334">
        <v>42675</v>
      </c>
      <c r="H292" s="335" t="s">
        <v>60</v>
      </c>
      <c r="I292" s="358">
        <v>4</v>
      </c>
      <c r="J292" s="792"/>
    </row>
    <row r="293" spans="1:10" x14ac:dyDescent="0.25">
      <c r="A293" s="793">
        <v>57</v>
      </c>
      <c r="B293" s="800" t="s">
        <v>1006</v>
      </c>
      <c r="C293" s="373" t="s">
        <v>1007</v>
      </c>
      <c r="D293" s="372" t="s">
        <v>851</v>
      </c>
      <c r="E293" s="373">
        <v>33883800</v>
      </c>
      <c r="F293" s="373" t="s">
        <v>1008</v>
      </c>
      <c r="G293" s="361">
        <v>42795</v>
      </c>
      <c r="H293" s="397" t="s">
        <v>60</v>
      </c>
      <c r="I293" s="390">
        <v>70.58</v>
      </c>
      <c r="J293" s="792">
        <v>63.63</v>
      </c>
    </row>
    <row r="294" spans="1:10" x14ac:dyDescent="0.25">
      <c r="A294" s="793"/>
      <c r="B294" s="800"/>
      <c r="C294" s="373" t="s">
        <v>1009</v>
      </c>
      <c r="D294" s="372" t="s">
        <v>902</v>
      </c>
      <c r="E294" s="373">
        <v>36345253</v>
      </c>
      <c r="F294" s="373" t="s">
        <v>1010</v>
      </c>
      <c r="G294" s="361">
        <v>42795</v>
      </c>
      <c r="H294" s="397" t="s">
        <v>60</v>
      </c>
      <c r="I294" s="390">
        <v>63.63</v>
      </c>
      <c r="J294" s="792"/>
    </row>
    <row r="295" spans="1:10" x14ac:dyDescent="0.25">
      <c r="A295" s="793"/>
      <c r="B295" s="800"/>
      <c r="C295" s="373" t="s">
        <v>892</v>
      </c>
      <c r="D295" s="372" t="s">
        <v>872</v>
      </c>
      <c r="E295" s="373">
        <v>33210009</v>
      </c>
      <c r="F295" s="373" t="s">
        <v>1011</v>
      </c>
      <c r="G295" s="361">
        <v>42856</v>
      </c>
      <c r="H295" s="397" t="s">
        <v>60</v>
      </c>
      <c r="I295" s="390">
        <v>33.21</v>
      </c>
      <c r="J295" s="792"/>
    </row>
    <row r="296" spans="1:10" x14ac:dyDescent="0.25">
      <c r="A296" s="793">
        <v>79</v>
      </c>
      <c r="B296" s="794" t="s">
        <v>1012</v>
      </c>
      <c r="C296" s="373" t="s">
        <v>1009</v>
      </c>
      <c r="D296" s="372" t="s">
        <v>902</v>
      </c>
      <c r="E296" s="373">
        <v>36345253</v>
      </c>
      <c r="F296" s="373" t="s">
        <v>1010</v>
      </c>
      <c r="G296" s="361">
        <v>42795</v>
      </c>
      <c r="H296" s="397" t="s">
        <v>60</v>
      </c>
      <c r="I296" s="390">
        <v>77.989999999999995</v>
      </c>
      <c r="J296" s="792">
        <v>121.71</v>
      </c>
    </row>
    <row r="297" spans="1:10" x14ac:dyDescent="0.25">
      <c r="A297" s="793"/>
      <c r="B297" s="794"/>
      <c r="C297" s="373" t="s">
        <v>892</v>
      </c>
      <c r="D297" s="372" t="s">
        <v>872</v>
      </c>
      <c r="E297" s="373">
        <v>33210009</v>
      </c>
      <c r="F297" s="373" t="s">
        <v>1011</v>
      </c>
      <c r="G297" s="361">
        <v>42856</v>
      </c>
      <c r="H297" s="397" t="s">
        <v>60</v>
      </c>
      <c r="I297" s="390">
        <v>140.79</v>
      </c>
      <c r="J297" s="792"/>
    </row>
    <row r="298" spans="1:10" x14ac:dyDescent="0.25">
      <c r="A298" s="793"/>
      <c r="B298" s="794"/>
      <c r="C298" s="373" t="s">
        <v>1007</v>
      </c>
      <c r="D298" s="372" t="s">
        <v>851</v>
      </c>
      <c r="E298" s="373">
        <v>33883800</v>
      </c>
      <c r="F298" s="373" t="s">
        <v>1008</v>
      </c>
      <c r="G298" s="361">
        <v>42795</v>
      </c>
      <c r="H298" s="397" t="s">
        <v>60</v>
      </c>
      <c r="I298" s="390">
        <v>121.71</v>
      </c>
      <c r="J298" s="792"/>
    </row>
    <row r="299" spans="1:10" x14ac:dyDescent="0.25">
      <c r="A299" s="793">
        <v>113</v>
      </c>
      <c r="B299" s="794" t="s">
        <v>1013</v>
      </c>
      <c r="C299" s="373" t="s">
        <v>1009</v>
      </c>
      <c r="D299" s="372" t="s">
        <v>902</v>
      </c>
      <c r="E299" s="373">
        <v>36345253</v>
      </c>
      <c r="F299" s="373" t="s">
        <v>1010</v>
      </c>
      <c r="G299" s="361">
        <v>42795</v>
      </c>
      <c r="H299" s="397" t="s">
        <v>60</v>
      </c>
      <c r="I299" s="390">
        <v>414.33</v>
      </c>
      <c r="J299" s="792">
        <v>578.96</v>
      </c>
    </row>
    <row r="300" spans="1:10" x14ac:dyDescent="0.25">
      <c r="A300" s="793"/>
      <c r="B300" s="794"/>
      <c r="C300" s="373" t="s">
        <v>892</v>
      </c>
      <c r="D300" s="372" t="s">
        <v>872</v>
      </c>
      <c r="E300" s="373">
        <v>33210009</v>
      </c>
      <c r="F300" s="373" t="s">
        <v>1011</v>
      </c>
      <c r="G300" s="361">
        <v>42856</v>
      </c>
      <c r="H300" s="397" t="s">
        <v>60</v>
      </c>
      <c r="I300" s="390">
        <v>578.96</v>
      </c>
      <c r="J300" s="792"/>
    </row>
    <row r="301" spans="1:10" x14ac:dyDescent="0.25">
      <c r="A301" s="793"/>
      <c r="B301" s="794"/>
      <c r="C301" s="373" t="s">
        <v>1007</v>
      </c>
      <c r="D301" s="372" t="s">
        <v>851</v>
      </c>
      <c r="E301" s="373">
        <v>33883800</v>
      </c>
      <c r="F301" s="373" t="s">
        <v>1008</v>
      </c>
      <c r="G301" s="361">
        <v>42795</v>
      </c>
      <c r="H301" s="397" t="s">
        <v>60</v>
      </c>
      <c r="I301" s="390">
        <v>770.67</v>
      </c>
      <c r="J301" s="792"/>
    </row>
    <row r="302" spans="1:10" x14ac:dyDescent="0.25">
      <c r="A302" s="793">
        <v>187</v>
      </c>
      <c r="B302" s="794" t="s">
        <v>1014</v>
      </c>
      <c r="C302" s="332" t="s">
        <v>1015</v>
      </c>
      <c r="D302" s="359" t="s">
        <v>872</v>
      </c>
      <c r="E302" s="332" t="s">
        <v>873</v>
      </c>
      <c r="F302" s="332" t="s">
        <v>1016</v>
      </c>
      <c r="G302" s="361">
        <v>42856</v>
      </c>
      <c r="H302" s="360" t="s">
        <v>60</v>
      </c>
      <c r="I302" s="358">
        <v>11</v>
      </c>
      <c r="J302" s="792">
        <v>11</v>
      </c>
    </row>
    <row r="303" spans="1:10" x14ac:dyDescent="0.25">
      <c r="A303" s="793"/>
      <c r="B303" s="794"/>
      <c r="C303" s="332" t="s">
        <v>850</v>
      </c>
      <c r="D303" s="359" t="s">
        <v>851</v>
      </c>
      <c r="E303" s="332" t="s">
        <v>852</v>
      </c>
      <c r="F303" s="332" t="s">
        <v>853</v>
      </c>
      <c r="G303" s="361">
        <v>42795</v>
      </c>
      <c r="H303" s="360" t="s">
        <v>60</v>
      </c>
      <c r="I303" s="358">
        <v>16.440000000000001</v>
      </c>
      <c r="J303" s="792"/>
    </row>
    <row r="304" spans="1:10" x14ac:dyDescent="0.25">
      <c r="A304" s="793"/>
      <c r="B304" s="794"/>
      <c r="C304" s="332" t="s">
        <v>874</v>
      </c>
      <c r="D304" s="359" t="s">
        <v>875</v>
      </c>
      <c r="E304" s="332" t="s">
        <v>876</v>
      </c>
      <c r="F304" s="332" t="s">
        <v>1017</v>
      </c>
      <c r="G304" s="361">
        <v>42795</v>
      </c>
      <c r="H304" s="360" t="s">
        <v>60</v>
      </c>
      <c r="I304" s="358">
        <v>6.75</v>
      </c>
      <c r="J304" s="792"/>
    </row>
    <row r="305" spans="1:10" x14ac:dyDescent="0.25">
      <c r="A305" s="793">
        <v>188</v>
      </c>
      <c r="B305" s="794" t="s">
        <v>1018</v>
      </c>
      <c r="C305" s="373" t="s">
        <v>1009</v>
      </c>
      <c r="D305" s="372" t="s">
        <v>902</v>
      </c>
      <c r="E305" s="373">
        <v>36345253</v>
      </c>
      <c r="F305" s="373" t="s">
        <v>1010</v>
      </c>
      <c r="G305" s="361">
        <v>42795</v>
      </c>
      <c r="H305" s="397" t="s">
        <v>60</v>
      </c>
      <c r="I305" s="390">
        <v>6.75</v>
      </c>
      <c r="J305" s="792">
        <v>14.87</v>
      </c>
    </row>
    <row r="306" spans="1:10" x14ac:dyDescent="0.25">
      <c r="A306" s="793"/>
      <c r="B306" s="794"/>
      <c r="C306" s="373" t="s">
        <v>892</v>
      </c>
      <c r="D306" s="372" t="s">
        <v>872</v>
      </c>
      <c r="E306" s="373">
        <v>33210009</v>
      </c>
      <c r="F306" s="373" t="s">
        <v>1011</v>
      </c>
      <c r="G306" s="361">
        <v>42856</v>
      </c>
      <c r="H306" s="397" t="s">
        <v>60</v>
      </c>
      <c r="I306" s="390">
        <v>14.87</v>
      </c>
      <c r="J306" s="792"/>
    </row>
    <row r="307" spans="1:10" x14ac:dyDescent="0.25">
      <c r="A307" s="793"/>
      <c r="B307" s="794"/>
      <c r="C307" s="373" t="s">
        <v>1007</v>
      </c>
      <c r="D307" s="372" t="s">
        <v>851</v>
      </c>
      <c r="E307" s="373">
        <v>33883800</v>
      </c>
      <c r="F307" s="373" t="s">
        <v>1008</v>
      </c>
      <c r="G307" s="361">
        <v>42795</v>
      </c>
      <c r="H307" s="397" t="s">
        <v>60</v>
      </c>
      <c r="I307" s="390">
        <v>16.440000000000001</v>
      </c>
      <c r="J307" s="792"/>
    </row>
    <row r="308" spans="1:10" x14ac:dyDescent="0.25">
      <c r="A308" s="793">
        <v>206</v>
      </c>
      <c r="B308" s="794" t="s">
        <v>1019</v>
      </c>
      <c r="C308" s="373" t="s">
        <v>1007</v>
      </c>
      <c r="D308" s="372" t="s">
        <v>851</v>
      </c>
      <c r="E308" s="373">
        <v>33883800</v>
      </c>
      <c r="F308" s="373" t="s">
        <v>1008</v>
      </c>
      <c r="G308" s="361">
        <v>42795</v>
      </c>
      <c r="H308" s="397" t="s">
        <v>60</v>
      </c>
      <c r="I308" s="390">
        <v>16.920000000000002</v>
      </c>
      <c r="J308" s="792">
        <v>17.68</v>
      </c>
    </row>
    <row r="309" spans="1:10" x14ac:dyDescent="0.25">
      <c r="A309" s="793"/>
      <c r="B309" s="794"/>
      <c r="C309" s="373" t="s">
        <v>1009</v>
      </c>
      <c r="D309" s="372" t="s">
        <v>902</v>
      </c>
      <c r="E309" s="373">
        <v>36345253</v>
      </c>
      <c r="F309" s="373" t="s">
        <v>1010</v>
      </c>
      <c r="G309" s="361">
        <v>42795</v>
      </c>
      <c r="H309" s="397" t="s">
        <v>60</v>
      </c>
      <c r="I309" s="390">
        <v>20.13</v>
      </c>
      <c r="J309" s="792"/>
    </row>
    <row r="310" spans="1:10" x14ac:dyDescent="0.25">
      <c r="A310" s="793"/>
      <c r="B310" s="794"/>
      <c r="C310" s="373" t="s">
        <v>892</v>
      </c>
      <c r="D310" s="372" t="s">
        <v>872</v>
      </c>
      <c r="E310" s="373">
        <v>33210009</v>
      </c>
      <c r="F310" s="373" t="s">
        <v>1011</v>
      </c>
      <c r="G310" s="361">
        <v>42856</v>
      </c>
      <c r="H310" s="397" t="s">
        <v>60</v>
      </c>
      <c r="I310" s="390">
        <v>17.68</v>
      </c>
      <c r="J310" s="792"/>
    </row>
    <row r="311" spans="1:10" x14ac:dyDescent="0.25">
      <c r="A311" s="793">
        <v>244</v>
      </c>
      <c r="B311" s="794" t="s">
        <v>1020</v>
      </c>
      <c r="C311" s="373" t="s">
        <v>1007</v>
      </c>
      <c r="D311" s="372" t="s">
        <v>851</v>
      </c>
      <c r="E311" s="373">
        <v>33883800</v>
      </c>
      <c r="F311" s="404" t="s">
        <v>1008</v>
      </c>
      <c r="G311" s="357">
        <v>42795</v>
      </c>
      <c r="H311" s="406" t="s">
        <v>60</v>
      </c>
      <c r="I311" s="370">
        <v>2.33</v>
      </c>
      <c r="J311" s="792">
        <v>1.92</v>
      </c>
    </row>
    <row r="312" spans="1:10" x14ac:dyDescent="0.25">
      <c r="A312" s="793"/>
      <c r="B312" s="794"/>
      <c r="C312" s="404" t="s">
        <v>892</v>
      </c>
      <c r="D312" s="405" t="s">
        <v>872</v>
      </c>
      <c r="E312" s="404">
        <v>33210009</v>
      </c>
      <c r="F312" s="404" t="s">
        <v>1011</v>
      </c>
      <c r="G312" s="357">
        <v>42795</v>
      </c>
      <c r="H312" s="406" t="s">
        <v>60</v>
      </c>
      <c r="I312" s="370">
        <v>1.91</v>
      </c>
      <c r="J312" s="792"/>
    </row>
    <row r="313" spans="1:10" x14ac:dyDescent="0.25">
      <c r="A313" s="793"/>
      <c r="B313" s="794"/>
      <c r="C313" s="330" t="s">
        <v>862</v>
      </c>
      <c r="D313" s="372" t="s">
        <v>863</v>
      </c>
      <c r="E313" s="373" t="s">
        <v>864</v>
      </c>
      <c r="F313" s="373" t="s">
        <v>1021</v>
      </c>
      <c r="G313" s="357">
        <v>42856</v>
      </c>
      <c r="H313" s="360" t="s">
        <v>60</v>
      </c>
      <c r="I313" s="358">
        <v>1.92</v>
      </c>
      <c r="J313" s="792"/>
    </row>
    <row r="314" spans="1:10" x14ac:dyDescent="0.25">
      <c r="A314" s="793">
        <v>246</v>
      </c>
      <c r="B314" s="794" t="s">
        <v>1022</v>
      </c>
      <c r="C314" s="404" t="s">
        <v>1009</v>
      </c>
      <c r="D314" s="405" t="s">
        <v>902</v>
      </c>
      <c r="E314" s="404">
        <v>36341717</v>
      </c>
      <c r="F314" s="404" t="s">
        <v>1023</v>
      </c>
      <c r="G314" s="357">
        <v>42795</v>
      </c>
      <c r="H314" s="406" t="s">
        <v>60</v>
      </c>
      <c r="I314" s="370">
        <v>30.83</v>
      </c>
      <c r="J314" s="792">
        <v>41.21</v>
      </c>
    </row>
    <row r="315" spans="1:10" x14ac:dyDescent="0.25">
      <c r="A315" s="793"/>
      <c r="B315" s="794"/>
      <c r="C315" s="404" t="s">
        <v>892</v>
      </c>
      <c r="D315" s="405" t="s">
        <v>872</v>
      </c>
      <c r="E315" s="404">
        <v>33210009</v>
      </c>
      <c r="F315" s="404" t="s">
        <v>1011</v>
      </c>
      <c r="G315" s="357">
        <v>42856</v>
      </c>
      <c r="H315" s="406" t="s">
        <v>60</v>
      </c>
      <c r="I315" s="370">
        <v>41.21</v>
      </c>
      <c r="J315" s="792"/>
    </row>
    <row r="316" spans="1:10" ht="15.75" thickBot="1" x14ac:dyDescent="0.3">
      <c r="A316" s="793"/>
      <c r="B316" s="794"/>
      <c r="C316" s="330" t="s">
        <v>859</v>
      </c>
      <c r="D316" s="359" t="s">
        <v>847</v>
      </c>
      <c r="E316" s="332">
        <v>30279000</v>
      </c>
      <c r="F316" s="373" t="s">
        <v>861</v>
      </c>
      <c r="G316" s="357">
        <v>42795</v>
      </c>
      <c r="H316" s="360" t="s">
        <v>60</v>
      </c>
      <c r="I316" s="358">
        <v>50</v>
      </c>
      <c r="J316" s="792"/>
    </row>
    <row r="317" spans="1:10" x14ac:dyDescent="0.25">
      <c r="A317" s="788">
        <v>254</v>
      </c>
      <c r="B317" s="795" t="s">
        <v>1024</v>
      </c>
      <c r="C317" s="409" t="s">
        <v>1025</v>
      </c>
      <c r="D317" s="410" t="s">
        <v>906</v>
      </c>
      <c r="E317" s="409"/>
      <c r="F317" s="409" t="s">
        <v>861</v>
      </c>
      <c r="G317" s="411">
        <v>42895</v>
      </c>
      <c r="H317" s="412" t="s">
        <v>75</v>
      </c>
      <c r="I317" s="413">
        <v>18.63</v>
      </c>
      <c r="J317" s="797">
        <v>19.100000000000001</v>
      </c>
    </row>
    <row r="318" spans="1:10" x14ac:dyDescent="0.25">
      <c r="A318" s="789"/>
      <c r="B318" s="794"/>
      <c r="C318" s="333" t="s">
        <v>1026</v>
      </c>
      <c r="D318" s="331" t="s">
        <v>863</v>
      </c>
      <c r="E318" s="333" t="s">
        <v>864</v>
      </c>
      <c r="F318" s="333" t="s">
        <v>999</v>
      </c>
      <c r="G318" s="336">
        <v>42895</v>
      </c>
      <c r="H318" s="335" t="s">
        <v>75</v>
      </c>
      <c r="I318" s="247">
        <v>23.62</v>
      </c>
      <c r="J318" s="798"/>
    </row>
    <row r="319" spans="1:10" ht="15.75" thickBot="1" x14ac:dyDescent="0.3">
      <c r="A319" s="790"/>
      <c r="B319" s="796"/>
      <c r="C319" s="414" t="s">
        <v>866</v>
      </c>
      <c r="D319" s="415" t="s">
        <v>867</v>
      </c>
      <c r="E319" s="414" t="s">
        <v>868</v>
      </c>
      <c r="F319" s="414" t="s">
        <v>869</v>
      </c>
      <c r="G319" s="416">
        <v>42895</v>
      </c>
      <c r="H319" s="417" t="s">
        <v>75</v>
      </c>
      <c r="I319" s="418">
        <v>19.100000000000001</v>
      </c>
      <c r="J319" s="799"/>
    </row>
    <row r="320" spans="1:10" x14ac:dyDescent="0.25">
      <c r="A320" s="788">
        <v>255</v>
      </c>
      <c r="B320" s="795" t="s">
        <v>1027</v>
      </c>
      <c r="C320" s="409" t="s">
        <v>1025</v>
      </c>
      <c r="D320" s="410" t="s">
        <v>906</v>
      </c>
      <c r="E320" s="409"/>
      <c r="F320" s="409" t="s">
        <v>861</v>
      </c>
      <c r="G320" s="411">
        <v>42895</v>
      </c>
      <c r="H320" s="412" t="s">
        <v>75</v>
      </c>
      <c r="I320" s="413">
        <v>50.48</v>
      </c>
      <c r="J320" s="797">
        <v>51.28</v>
      </c>
    </row>
    <row r="321" spans="1:10" x14ac:dyDescent="0.25">
      <c r="A321" s="789"/>
      <c r="B321" s="794"/>
      <c r="C321" s="333" t="s">
        <v>1026</v>
      </c>
      <c r="D321" s="331" t="s">
        <v>863</v>
      </c>
      <c r="E321" s="333" t="s">
        <v>864</v>
      </c>
      <c r="F321" s="333" t="s">
        <v>999</v>
      </c>
      <c r="G321" s="336">
        <v>42895</v>
      </c>
      <c r="H321" s="335" t="s">
        <v>75</v>
      </c>
      <c r="I321" s="247">
        <v>61.51</v>
      </c>
      <c r="J321" s="798"/>
    </row>
    <row r="322" spans="1:10" ht="15.75" thickBot="1" x14ac:dyDescent="0.3">
      <c r="A322" s="790"/>
      <c r="B322" s="796"/>
      <c r="C322" s="414" t="s">
        <v>866</v>
      </c>
      <c r="D322" s="415" t="s">
        <v>867</v>
      </c>
      <c r="E322" s="414" t="s">
        <v>868</v>
      </c>
      <c r="F322" s="414" t="s">
        <v>869</v>
      </c>
      <c r="G322" s="416">
        <v>42895</v>
      </c>
      <c r="H322" s="417" t="s">
        <v>75</v>
      </c>
      <c r="I322" s="418">
        <v>51.28</v>
      </c>
      <c r="J322" s="799"/>
    </row>
    <row r="323" spans="1:10" x14ac:dyDescent="0.25">
      <c r="A323" s="793">
        <v>256</v>
      </c>
      <c r="B323" s="794" t="s">
        <v>1028</v>
      </c>
      <c r="C323" s="373" t="s">
        <v>1009</v>
      </c>
      <c r="D323" s="372" t="s">
        <v>902</v>
      </c>
      <c r="E323" s="373">
        <v>36345253</v>
      </c>
      <c r="F323" s="373" t="s">
        <v>1010</v>
      </c>
      <c r="G323" s="361">
        <v>42795</v>
      </c>
      <c r="H323" s="397" t="s">
        <v>63</v>
      </c>
      <c r="I323" s="390">
        <v>3.78</v>
      </c>
      <c r="J323" s="792">
        <v>2.68</v>
      </c>
    </row>
    <row r="324" spans="1:10" x14ac:dyDescent="0.25">
      <c r="A324" s="793"/>
      <c r="B324" s="794"/>
      <c r="C324" s="373" t="s">
        <v>892</v>
      </c>
      <c r="D324" s="372" t="s">
        <v>872</v>
      </c>
      <c r="E324" s="373">
        <v>33210009</v>
      </c>
      <c r="F324" s="373" t="s">
        <v>1011</v>
      </c>
      <c r="G324" s="361">
        <v>42856</v>
      </c>
      <c r="H324" s="397" t="s">
        <v>63</v>
      </c>
      <c r="I324" s="390">
        <v>2.4500000000000002</v>
      </c>
      <c r="J324" s="792"/>
    </row>
    <row r="325" spans="1:10" x14ac:dyDescent="0.25">
      <c r="A325" s="793"/>
      <c r="B325" s="794"/>
      <c r="C325" s="373" t="s">
        <v>1007</v>
      </c>
      <c r="D325" s="372" t="s">
        <v>851</v>
      </c>
      <c r="E325" s="373">
        <v>33883800</v>
      </c>
      <c r="F325" s="373" t="s">
        <v>1008</v>
      </c>
      <c r="G325" s="361">
        <v>42795</v>
      </c>
      <c r="H325" s="397" t="s">
        <v>63</v>
      </c>
      <c r="I325" s="390">
        <v>2.68</v>
      </c>
      <c r="J325" s="792"/>
    </row>
    <row r="326" spans="1:10" x14ac:dyDescent="0.25">
      <c r="A326" s="793">
        <v>257</v>
      </c>
      <c r="B326" s="794" t="s">
        <v>1029</v>
      </c>
      <c r="C326" s="373" t="s">
        <v>1009</v>
      </c>
      <c r="D326" s="372" t="s">
        <v>902</v>
      </c>
      <c r="E326" s="373">
        <v>36345253</v>
      </c>
      <c r="F326" s="373" t="s">
        <v>1010</v>
      </c>
      <c r="G326" s="361">
        <v>42795</v>
      </c>
      <c r="H326" s="397" t="s">
        <v>60</v>
      </c>
      <c r="I326" s="390">
        <v>175.68</v>
      </c>
      <c r="J326" s="792">
        <v>210.87</v>
      </c>
    </row>
    <row r="327" spans="1:10" x14ac:dyDescent="0.25">
      <c r="A327" s="793"/>
      <c r="B327" s="794"/>
      <c r="C327" s="373" t="s">
        <v>892</v>
      </c>
      <c r="D327" s="372" t="s">
        <v>872</v>
      </c>
      <c r="E327" s="373">
        <v>33210009</v>
      </c>
      <c r="F327" s="373" t="s">
        <v>1011</v>
      </c>
      <c r="G327" s="361">
        <v>42795</v>
      </c>
      <c r="H327" s="397" t="s">
        <v>60</v>
      </c>
      <c r="I327" s="390">
        <v>230.11</v>
      </c>
      <c r="J327" s="792"/>
    </row>
    <row r="328" spans="1:10" x14ac:dyDescent="0.25">
      <c r="A328" s="793"/>
      <c r="B328" s="794"/>
      <c r="C328" s="373" t="s">
        <v>1030</v>
      </c>
      <c r="D328" s="372" t="s">
        <v>1031</v>
      </c>
      <c r="E328" s="373" t="s">
        <v>1032</v>
      </c>
      <c r="F328" s="373" t="s">
        <v>1033</v>
      </c>
      <c r="G328" s="361">
        <v>42795</v>
      </c>
      <c r="H328" s="397" t="s">
        <v>60</v>
      </c>
      <c r="I328" s="390">
        <v>210.87</v>
      </c>
      <c r="J328" s="792"/>
    </row>
    <row r="329" spans="1:10" x14ac:dyDescent="0.25">
      <c r="A329" s="793">
        <v>270</v>
      </c>
      <c r="B329" s="794" t="s">
        <v>1034</v>
      </c>
      <c r="C329" s="373" t="s">
        <v>1009</v>
      </c>
      <c r="D329" s="372" t="s">
        <v>902</v>
      </c>
      <c r="E329" s="373">
        <v>36345253</v>
      </c>
      <c r="F329" s="373" t="s">
        <v>1010</v>
      </c>
      <c r="G329" s="361">
        <v>42795</v>
      </c>
      <c r="H329" s="397" t="s">
        <v>63</v>
      </c>
      <c r="I329" s="390">
        <v>121.05</v>
      </c>
      <c r="J329" s="792">
        <v>271.32</v>
      </c>
    </row>
    <row r="330" spans="1:10" x14ac:dyDescent="0.25">
      <c r="A330" s="793"/>
      <c r="B330" s="794"/>
      <c r="C330" s="373" t="s">
        <v>892</v>
      </c>
      <c r="D330" s="372" t="s">
        <v>872</v>
      </c>
      <c r="E330" s="373">
        <v>33210009</v>
      </c>
      <c r="F330" s="373" t="s">
        <v>1011</v>
      </c>
      <c r="G330" s="361">
        <v>42856</v>
      </c>
      <c r="H330" s="397" t="s">
        <v>63</v>
      </c>
      <c r="I330" s="390">
        <v>280.5</v>
      </c>
      <c r="J330" s="792"/>
    </row>
    <row r="331" spans="1:10" x14ac:dyDescent="0.25">
      <c r="A331" s="793"/>
      <c r="B331" s="794"/>
      <c r="C331" s="373" t="s">
        <v>1007</v>
      </c>
      <c r="D331" s="372" t="s">
        <v>851</v>
      </c>
      <c r="E331" s="373">
        <v>33883800</v>
      </c>
      <c r="F331" s="373" t="s">
        <v>1008</v>
      </c>
      <c r="G331" s="361">
        <v>42795</v>
      </c>
      <c r="H331" s="397" t="s">
        <v>63</v>
      </c>
      <c r="I331" s="390">
        <v>271.32</v>
      </c>
      <c r="J331" s="792"/>
    </row>
    <row r="332" spans="1:10" x14ac:dyDescent="0.25">
      <c r="A332" s="793">
        <v>284</v>
      </c>
      <c r="B332" s="794" t="s">
        <v>2795</v>
      </c>
      <c r="C332" s="419" t="s">
        <v>3806</v>
      </c>
      <c r="D332" s="366"/>
      <c r="E332" s="367" t="s">
        <v>3921</v>
      </c>
      <c r="F332" s="367" t="s">
        <v>772</v>
      </c>
      <c r="G332" s="350">
        <v>42887</v>
      </c>
      <c r="H332" s="364" t="s">
        <v>60</v>
      </c>
      <c r="I332" s="355">
        <v>280</v>
      </c>
      <c r="J332" s="792">
        <v>280</v>
      </c>
    </row>
    <row r="333" spans="1:10" x14ac:dyDescent="0.25">
      <c r="A333" s="793"/>
      <c r="B333" s="794"/>
      <c r="C333" s="419" t="s">
        <v>3811</v>
      </c>
      <c r="D333" s="366" t="s">
        <v>767</v>
      </c>
      <c r="E333" s="367" t="s">
        <v>768</v>
      </c>
      <c r="F333" s="367"/>
      <c r="G333" s="350">
        <v>42826</v>
      </c>
      <c r="H333" s="364" t="s">
        <v>60</v>
      </c>
      <c r="I333" s="355">
        <v>960</v>
      </c>
      <c r="J333" s="792"/>
    </row>
    <row r="334" spans="1:10" x14ac:dyDescent="0.25">
      <c r="A334" s="793"/>
      <c r="B334" s="794"/>
      <c r="C334" s="419" t="s">
        <v>3809</v>
      </c>
      <c r="D334" s="366" t="s">
        <v>777</v>
      </c>
      <c r="E334" s="367" t="s">
        <v>3922</v>
      </c>
      <c r="F334" s="367" t="s">
        <v>778</v>
      </c>
      <c r="G334" s="350">
        <v>42736</v>
      </c>
      <c r="H334" s="364" t="s">
        <v>60</v>
      </c>
      <c r="I334" s="355">
        <v>150</v>
      </c>
      <c r="J334" s="792"/>
    </row>
    <row r="335" spans="1:10" x14ac:dyDescent="0.25">
      <c r="A335" s="793">
        <v>285</v>
      </c>
      <c r="B335" s="794" t="s">
        <v>719</v>
      </c>
      <c r="C335" s="419" t="s">
        <v>899</v>
      </c>
      <c r="D335" s="366" t="s">
        <v>851</v>
      </c>
      <c r="E335" s="367" t="s">
        <v>852</v>
      </c>
      <c r="F335" s="367" t="s">
        <v>900</v>
      </c>
      <c r="G335" s="350">
        <v>42795</v>
      </c>
      <c r="H335" s="364" t="s">
        <v>60</v>
      </c>
      <c r="I335" s="355">
        <v>35.82</v>
      </c>
      <c r="J335" s="792">
        <v>35.82</v>
      </c>
    </row>
    <row r="336" spans="1:10" x14ac:dyDescent="0.25">
      <c r="A336" s="793"/>
      <c r="B336" s="794"/>
      <c r="C336" s="419" t="s">
        <v>901</v>
      </c>
      <c r="D336" s="366" t="s">
        <v>902</v>
      </c>
      <c r="E336" s="367" t="s">
        <v>876</v>
      </c>
      <c r="F336" s="367" t="s">
        <v>903</v>
      </c>
      <c r="G336" s="350">
        <v>42795</v>
      </c>
      <c r="H336" s="364" t="s">
        <v>60</v>
      </c>
      <c r="I336" s="355">
        <v>30.86</v>
      </c>
      <c r="J336" s="792"/>
    </row>
    <row r="337" spans="1:10" x14ac:dyDescent="0.25">
      <c r="A337" s="793"/>
      <c r="B337" s="794"/>
      <c r="C337" s="419" t="s">
        <v>904</v>
      </c>
      <c r="D337" s="420" t="s">
        <v>872</v>
      </c>
      <c r="E337" s="367">
        <v>36342266</v>
      </c>
      <c r="F337" s="367" t="s">
        <v>893</v>
      </c>
      <c r="G337" s="350">
        <v>42795</v>
      </c>
      <c r="H337" s="364" t="s">
        <v>60</v>
      </c>
      <c r="I337" s="355">
        <v>41.65</v>
      </c>
      <c r="J337" s="792"/>
    </row>
    <row r="338" spans="1:10" x14ac:dyDescent="0.25">
      <c r="A338" s="793">
        <v>286</v>
      </c>
      <c r="B338" s="794" t="s">
        <v>1035</v>
      </c>
      <c r="C338" s="419" t="s">
        <v>871</v>
      </c>
      <c r="D338" s="366" t="s">
        <v>872</v>
      </c>
      <c r="E338" s="367" t="s">
        <v>873</v>
      </c>
      <c r="F338" s="367" t="s">
        <v>1016</v>
      </c>
      <c r="G338" s="350">
        <v>42759</v>
      </c>
      <c r="H338" s="364" t="s">
        <v>60</v>
      </c>
      <c r="I338" s="355">
        <v>340.05</v>
      </c>
      <c r="J338" s="792">
        <v>323.19</v>
      </c>
    </row>
    <row r="339" spans="1:10" x14ac:dyDescent="0.25">
      <c r="A339" s="793"/>
      <c r="B339" s="794"/>
      <c r="C339" s="419" t="s">
        <v>859</v>
      </c>
      <c r="D339" s="366" t="s">
        <v>906</v>
      </c>
      <c r="E339" s="367" t="s">
        <v>860</v>
      </c>
      <c r="F339" s="367" t="s">
        <v>907</v>
      </c>
      <c r="G339" s="350">
        <v>42759</v>
      </c>
      <c r="H339" s="364" t="s">
        <v>60</v>
      </c>
      <c r="I339" s="355">
        <v>318.95999999999998</v>
      </c>
      <c r="J339" s="792"/>
    </row>
    <row r="340" spans="1:10" ht="15.75" thickBot="1" x14ac:dyDescent="0.3">
      <c r="A340" s="793"/>
      <c r="B340" s="794"/>
      <c r="C340" s="419" t="s">
        <v>838</v>
      </c>
      <c r="D340" s="420" t="s">
        <v>1036</v>
      </c>
      <c r="E340" s="367" t="s">
        <v>1037</v>
      </c>
      <c r="F340" s="367" t="s">
        <v>1038</v>
      </c>
      <c r="G340" s="350">
        <v>42759</v>
      </c>
      <c r="H340" s="364" t="s">
        <v>60</v>
      </c>
      <c r="I340" s="355">
        <v>323.19</v>
      </c>
      <c r="J340" s="792"/>
    </row>
    <row r="341" spans="1:10" x14ac:dyDescent="0.25">
      <c r="A341" s="788">
        <v>336</v>
      </c>
      <c r="B341" s="795" t="s">
        <v>1039</v>
      </c>
      <c r="C341" s="409" t="s">
        <v>1040</v>
      </c>
      <c r="D341" s="410" t="s">
        <v>746</v>
      </c>
      <c r="E341" s="409" t="s">
        <v>747</v>
      </c>
      <c r="F341" s="409"/>
      <c r="G341" s="411">
        <v>42917</v>
      </c>
      <c r="H341" s="412" t="s">
        <v>52</v>
      </c>
      <c r="I341" s="413">
        <v>68.64</v>
      </c>
      <c r="J341" s="797">
        <v>63.26</v>
      </c>
    </row>
    <row r="342" spans="1:10" x14ac:dyDescent="0.25">
      <c r="A342" s="789"/>
      <c r="B342" s="794"/>
      <c r="C342" s="333" t="s">
        <v>1041</v>
      </c>
      <c r="D342" s="331"/>
      <c r="E342" s="333"/>
      <c r="F342" s="333"/>
      <c r="G342" s="336">
        <v>42917</v>
      </c>
      <c r="H342" s="335" t="s">
        <v>52</v>
      </c>
      <c r="I342" s="247">
        <v>63.26</v>
      </c>
      <c r="J342" s="798"/>
    </row>
    <row r="343" spans="1:10" ht="15.75" thickBot="1" x14ac:dyDescent="0.3">
      <c r="A343" s="790"/>
      <c r="B343" s="796"/>
      <c r="C343" s="414" t="s">
        <v>1042</v>
      </c>
      <c r="D343" s="415" t="s">
        <v>815</v>
      </c>
      <c r="E343" s="414">
        <v>33141000</v>
      </c>
      <c r="F343" s="414" t="s">
        <v>1043</v>
      </c>
      <c r="G343" s="416">
        <v>42917</v>
      </c>
      <c r="H343" s="417" t="s">
        <v>52</v>
      </c>
      <c r="I343" s="418">
        <v>53.9</v>
      </c>
      <c r="J343" s="799"/>
    </row>
    <row r="344" spans="1:10" x14ac:dyDescent="0.25">
      <c r="A344" s="788">
        <v>337</v>
      </c>
      <c r="B344" s="795" t="s">
        <v>3923</v>
      </c>
      <c r="C344" s="409" t="s">
        <v>1025</v>
      </c>
      <c r="D344" s="410" t="s">
        <v>906</v>
      </c>
      <c r="E344" s="409"/>
      <c r="F344" s="409" t="s">
        <v>861</v>
      </c>
      <c r="G344" s="411">
        <v>42895</v>
      </c>
      <c r="H344" s="412" t="s">
        <v>75</v>
      </c>
      <c r="I344" s="413">
        <v>90.4</v>
      </c>
      <c r="J344" s="797">
        <v>90.4</v>
      </c>
    </row>
    <row r="345" spans="1:10" x14ac:dyDescent="0.25">
      <c r="A345" s="789"/>
      <c r="B345" s="794"/>
      <c r="C345" s="333" t="s">
        <v>1026</v>
      </c>
      <c r="D345" s="331" t="s">
        <v>863</v>
      </c>
      <c r="E345" s="333" t="s">
        <v>864</v>
      </c>
      <c r="F345" s="333" t="s">
        <v>999</v>
      </c>
      <c r="G345" s="336">
        <v>42895</v>
      </c>
      <c r="H345" s="335" t="s">
        <v>75</v>
      </c>
      <c r="I345" s="247">
        <v>105.73</v>
      </c>
      <c r="J345" s="798"/>
    </row>
    <row r="346" spans="1:10" ht="15.75" thickBot="1" x14ac:dyDescent="0.3">
      <c r="A346" s="790"/>
      <c r="B346" s="796"/>
      <c r="C346" s="414" t="s">
        <v>866</v>
      </c>
      <c r="D346" s="415" t="s">
        <v>867</v>
      </c>
      <c r="E346" s="414" t="s">
        <v>868</v>
      </c>
      <c r="F346" s="414" t="s">
        <v>869</v>
      </c>
      <c r="G346" s="416">
        <v>42895</v>
      </c>
      <c r="H346" s="417" t="s">
        <v>75</v>
      </c>
      <c r="I346" s="418">
        <v>87.58</v>
      </c>
      <c r="J346" s="799"/>
    </row>
    <row r="347" spans="1:10" x14ac:dyDescent="0.25">
      <c r="A347" s="788">
        <v>665</v>
      </c>
      <c r="B347" s="791" t="s">
        <v>3924</v>
      </c>
      <c r="C347" s="333" t="s">
        <v>3925</v>
      </c>
      <c r="D347" s="359" t="s">
        <v>3926</v>
      </c>
      <c r="E347" s="332" t="s">
        <v>3927</v>
      </c>
      <c r="F347" s="332"/>
      <c r="G347" s="374">
        <v>42948</v>
      </c>
      <c r="H347" s="360" t="s">
        <v>52</v>
      </c>
      <c r="I347" s="358">
        <v>125.97</v>
      </c>
      <c r="J347" s="792">
        <v>125.97</v>
      </c>
    </row>
    <row r="348" spans="1:10" x14ac:dyDescent="0.25">
      <c r="A348" s="789"/>
      <c r="B348" s="791"/>
      <c r="C348" s="333"/>
      <c r="D348" s="331"/>
      <c r="E348" s="333"/>
      <c r="F348" s="333"/>
      <c r="G348" s="374"/>
      <c r="H348" s="335"/>
      <c r="I348" s="247"/>
      <c r="J348" s="792"/>
    </row>
    <row r="349" spans="1:10" ht="15.75" thickBot="1" x14ac:dyDescent="0.3">
      <c r="A349" s="790"/>
      <c r="B349" s="791"/>
      <c r="C349" s="333"/>
      <c r="D349" s="359"/>
      <c r="E349" s="332"/>
      <c r="F349" s="332"/>
      <c r="G349" s="374"/>
      <c r="H349" s="360"/>
      <c r="I349" s="358"/>
      <c r="J349" s="792"/>
    </row>
    <row r="350" spans="1:10" x14ac:dyDescent="0.25">
      <c r="A350" s="793">
        <v>693</v>
      </c>
      <c r="B350" s="794" t="s">
        <v>2677</v>
      </c>
      <c r="C350" s="333" t="s">
        <v>2683</v>
      </c>
      <c r="D350" s="331"/>
      <c r="E350" s="333" t="s">
        <v>2684</v>
      </c>
      <c r="F350" s="333" t="s">
        <v>2685</v>
      </c>
      <c r="G350" s="336">
        <v>42826</v>
      </c>
      <c r="H350" s="335" t="s">
        <v>60</v>
      </c>
      <c r="I350" s="247">
        <v>1000</v>
      </c>
      <c r="J350" s="792">
        <v>1000</v>
      </c>
    </row>
    <row r="351" spans="1:10" x14ac:dyDescent="0.25">
      <c r="A351" s="793"/>
      <c r="B351" s="794"/>
      <c r="C351" s="333" t="s">
        <v>2686</v>
      </c>
      <c r="D351" s="331" t="s">
        <v>2687</v>
      </c>
      <c r="E351" s="333" t="s">
        <v>2688</v>
      </c>
      <c r="F351" s="333" t="s">
        <v>2689</v>
      </c>
      <c r="G351" s="336">
        <v>42826</v>
      </c>
      <c r="H351" s="335" t="s">
        <v>60</v>
      </c>
      <c r="I351" s="247">
        <v>950</v>
      </c>
      <c r="J351" s="792"/>
    </row>
    <row r="352" spans="1:10" x14ac:dyDescent="0.25">
      <c r="A352" s="793"/>
      <c r="B352" s="794"/>
      <c r="C352" s="333" t="s">
        <v>2690</v>
      </c>
      <c r="D352" s="331"/>
      <c r="E352" s="333" t="s">
        <v>2691</v>
      </c>
      <c r="F352" s="333"/>
      <c r="G352" s="336">
        <v>42826</v>
      </c>
      <c r="H352" s="335" t="s">
        <v>60</v>
      </c>
      <c r="I352" s="247">
        <v>1500</v>
      </c>
      <c r="J352" s="792"/>
    </row>
    <row r="353" spans="1:10" x14ac:dyDescent="0.25">
      <c r="A353" s="793">
        <v>463</v>
      </c>
      <c r="B353" s="794" t="s">
        <v>3928</v>
      </c>
      <c r="C353" s="330" t="s">
        <v>859</v>
      </c>
      <c r="D353" s="359" t="s">
        <v>847</v>
      </c>
      <c r="E353" s="332" t="s">
        <v>860</v>
      </c>
      <c r="F353" s="332" t="s">
        <v>861</v>
      </c>
      <c r="G353" s="371">
        <v>42856</v>
      </c>
      <c r="H353" s="360" t="s">
        <v>60</v>
      </c>
      <c r="I353" s="358">
        <v>50.48</v>
      </c>
      <c r="J353" s="792">
        <v>50.48</v>
      </c>
    </row>
    <row r="354" spans="1:10" x14ac:dyDescent="0.25">
      <c r="A354" s="793"/>
      <c r="B354" s="794"/>
      <c r="C354" s="330" t="s">
        <v>862</v>
      </c>
      <c r="D354" s="372" t="s">
        <v>863</v>
      </c>
      <c r="E354" s="373" t="s">
        <v>864</v>
      </c>
      <c r="F354" s="373" t="s">
        <v>865</v>
      </c>
      <c r="G354" s="371">
        <v>42856</v>
      </c>
      <c r="H354" s="360" t="s">
        <v>60</v>
      </c>
      <c r="I354" s="358">
        <v>61.51</v>
      </c>
      <c r="J354" s="792"/>
    </row>
    <row r="355" spans="1:10" x14ac:dyDescent="0.25">
      <c r="A355" s="793"/>
      <c r="B355" s="794"/>
      <c r="C355" s="330" t="s">
        <v>3929</v>
      </c>
      <c r="D355" s="359" t="s">
        <v>867</v>
      </c>
      <c r="E355" s="332" t="s">
        <v>868</v>
      </c>
      <c r="F355" s="332" t="s">
        <v>869</v>
      </c>
      <c r="G355" s="371">
        <v>42856</v>
      </c>
      <c r="H355" s="360" t="s">
        <v>60</v>
      </c>
      <c r="I355" s="358">
        <v>48.93</v>
      </c>
      <c r="J355" s="792"/>
    </row>
  </sheetData>
  <mergeCells count="355">
    <mergeCell ref="A2:A4"/>
    <mergeCell ref="B2:B4"/>
    <mergeCell ref="J2:J4"/>
    <mergeCell ref="A5:A7"/>
    <mergeCell ref="B5:B7"/>
    <mergeCell ref="J5:J7"/>
    <mergeCell ref="A14:A16"/>
    <mergeCell ref="B14:B16"/>
    <mergeCell ref="J14:J16"/>
    <mergeCell ref="A17:A19"/>
    <mergeCell ref="B17:B19"/>
    <mergeCell ref="J17:J19"/>
    <mergeCell ref="A8:A10"/>
    <mergeCell ref="B8:B10"/>
    <mergeCell ref="J8:J10"/>
    <mergeCell ref="A11:A13"/>
    <mergeCell ref="B11:B13"/>
    <mergeCell ref="J11:J13"/>
    <mergeCell ref="A26:A28"/>
    <mergeCell ref="B26:B28"/>
    <mergeCell ref="J26:J28"/>
    <mergeCell ref="A29:A31"/>
    <mergeCell ref="B29:B31"/>
    <mergeCell ref="J29:J31"/>
    <mergeCell ref="A20:A22"/>
    <mergeCell ref="B20:B22"/>
    <mergeCell ref="J20:J22"/>
    <mergeCell ref="A23:A25"/>
    <mergeCell ref="B23:B25"/>
    <mergeCell ref="J23:J25"/>
    <mergeCell ref="A38:A40"/>
    <mergeCell ref="B38:B40"/>
    <mergeCell ref="J38:J40"/>
    <mergeCell ref="A41:A43"/>
    <mergeCell ref="B41:B43"/>
    <mergeCell ref="J41:J43"/>
    <mergeCell ref="A32:A34"/>
    <mergeCell ref="B32:B34"/>
    <mergeCell ref="J32:J34"/>
    <mergeCell ref="A35:A37"/>
    <mergeCell ref="B35:B37"/>
    <mergeCell ref="J35:J37"/>
    <mergeCell ref="A50:A52"/>
    <mergeCell ref="B50:B52"/>
    <mergeCell ref="J50:J52"/>
    <mergeCell ref="A53:A55"/>
    <mergeCell ref="B53:B55"/>
    <mergeCell ref="J53:J55"/>
    <mergeCell ref="A44:A46"/>
    <mergeCell ref="B44:B46"/>
    <mergeCell ref="J44:J46"/>
    <mergeCell ref="A47:A49"/>
    <mergeCell ref="B47:B49"/>
    <mergeCell ref="J47:J49"/>
    <mergeCell ref="A62:A64"/>
    <mergeCell ref="B62:B64"/>
    <mergeCell ref="J62:J64"/>
    <mergeCell ref="A65:A67"/>
    <mergeCell ref="B65:B67"/>
    <mergeCell ref="J65:J67"/>
    <mergeCell ref="A56:A58"/>
    <mergeCell ref="B56:B58"/>
    <mergeCell ref="J56:J58"/>
    <mergeCell ref="A59:A61"/>
    <mergeCell ref="B59:B61"/>
    <mergeCell ref="J59:J61"/>
    <mergeCell ref="A74:A76"/>
    <mergeCell ref="B74:B76"/>
    <mergeCell ref="J74:J76"/>
    <mergeCell ref="A77:A79"/>
    <mergeCell ref="B77:B79"/>
    <mergeCell ref="J77:J79"/>
    <mergeCell ref="A68:A70"/>
    <mergeCell ref="B68:B70"/>
    <mergeCell ref="J68:J70"/>
    <mergeCell ref="A71:A73"/>
    <mergeCell ref="B71:B73"/>
    <mergeCell ref="J71:J73"/>
    <mergeCell ref="A86:A88"/>
    <mergeCell ref="B86:B88"/>
    <mergeCell ref="J86:J88"/>
    <mergeCell ref="A89:A91"/>
    <mergeCell ref="B89:B91"/>
    <mergeCell ref="J89:J91"/>
    <mergeCell ref="A80:A82"/>
    <mergeCell ref="B80:B82"/>
    <mergeCell ref="J80:J82"/>
    <mergeCell ref="A83:A85"/>
    <mergeCell ref="B83:B85"/>
    <mergeCell ref="J83:J85"/>
    <mergeCell ref="A98:A100"/>
    <mergeCell ref="B98:B100"/>
    <mergeCell ref="J98:J100"/>
    <mergeCell ref="A101:A103"/>
    <mergeCell ref="B101:B103"/>
    <mergeCell ref="J101:J103"/>
    <mergeCell ref="A92:A94"/>
    <mergeCell ref="B92:B94"/>
    <mergeCell ref="J92:J94"/>
    <mergeCell ref="A95:A97"/>
    <mergeCell ref="B95:B97"/>
    <mergeCell ref="J95:J97"/>
    <mergeCell ref="A110:A112"/>
    <mergeCell ref="B110:B112"/>
    <mergeCell ref="J110:J112"/>
    <mergeCell ref="A113:A115"/>
    <mergeCell ref="B113:B115"/>
    <mergeCell ref="J113:J115"/>
    <mergeCell ref="A104:A106"/>
    <mergeCell ref="B104:B106"/>
    <mergeCell ref="J104:J106"/>
    <mergeCell ref="A107:A109"/>
    <mergeCell ref="B107:B109"/>
    <mergeCell ref="J107:J109"/>
    <mergeCell ref="A122:A124"/>
    <mergeCell ref="B122:B124"/>
    <mergeCell ref="J122:J124"/>
    <mergeCell ref="A125:A127"/>
    <mergeCell ref="B125:B127"/>
    <mergeCell ref="J125:J127"/>
    <mergeCell ref="A116:A118"/>
    <mergeCell ref="B116:B118"/>
    <mergeCell ref="J116:J118"/>
    <mergeCell ref="A119:A121"/>
    <mergeCell ref="B119:B121"/>
    <mergeCell ref="J119:J121"/>
    <mergeCell ref="A134:A136"/>
    <mergeCell ref="B134:B136"/>
    <mergeCell ref="J134:J136"/>
    <mergeCell ref="A137:A139"/>
    <mergeCell ref="B137:B139"/>
    <mergeCell ref="J137:J139"/>
    <mergeCell ref="A128:A130"/>
    <mergeCell ref="B128:B130"/>
    <mergeCell ref="J128:J130"/>
    <mergeCell ref="A131:A133"/>
    <mergeCell ref="B131:B133"/>
    <mergeCell ref="J131:J133"/>
    <mergeCell ref="A146:A148"/>
    <mergeCell ref="B146:B148"/>
    <mergeCell ref="J146:J148"/>
    <mergeCell ref="A149:A151"/>
    <mergeCell ref="B149:B151"/>
    <mergeCell ref="J149:J151"/>
    <mergeCell ref="A140:A142"/>
    <mergeCell ref="B140:B142"/>
    <mergeCell ref="J140:J142"/>
    <mergeCell ref="A143:A145"/>
    <mergeCell ref="B143:B145"/>
    <mergeCell ref="J143:J145"/>
    <mergeCell ref="A158:A160"/>
    <mergeCell ref="B158:B160"/>
    <mergeCell ref="J158:J160"/>
    <mergeCell ref="A161:A163"/>
    <mergeCell ref="B161:B163"/>
    <mergeCell ref="J161:J163"/>
    <mergeCell ref="A152:A154"/>
    <mergeCell ref="B152:B154"/>
    <mergeCell ref="J152:J154"/>
    <mergeCell ref="A155:A157"/>
    <mergeCell ref="B155:B157"/>
    <mergeCell ref="J155:J157"/>
    <mergeCell ref="A170:A172"/>
    <mergeCell ref="B170:B172"/>
    <mergeCell ref="J170:J172"/>
    <mergeCell ref="A173:A175"/>
    <mergeCell ref="B173:B175"/>
    <mergeCell ref="J173:J175"/>
    <mergeCell ref="A164:A166"/>
    <mergeCell ref="B164:B166"/>
    <mergeCell ref="J164:J166"/>
    <mergeCell ref="A167:A169"/>
    <mergeCell ref="B167:B169"/>
    <mergeCell ref="J167:J169"/>
    <mergeCell ref="A182:A184"/>
    <mergeCell ref="B182:B184"/>
    <mergeCell ref="J182:J184"/>
    <mergeCell ref="A185:A187"/>
    <mergeCell ref="B185:B187"/>
    <mergeCell ref="J185:J187"/>
    <mergeCell ref="A176:A178"/>
    <mergeCell ref="B176:B178"/>
    <mergeCell ref="J176:J178"/>
    <mergeCell ref="A179:A181"/>
    <mergeCell ref="B179:B181"/>
    <mergeCell ref="J179:J181"/>
    <mergeCell ref="J194:J196"/>
    <mergeCell ref="A197:A199"/>
    <mergeCell ref="B197:B199"/>
    <mergeCell ref="J197:J199"/>
    <mergeCell ref="A188:A190"/>
    <mergeCell ref="B188:B190"/>
    <mergeCell ref="J188:J190"/>
    <mergeCell ref="A191:A193"/>
    <mergeCell ref="B191:B193"/>
    <mergeCell ref="J191:J193"/>
    <mergeCell ref="A227:A229"/>
    <mergeCell ref="B227:B229"/>
    <mergeCell ref="J227:J229"/>
    <mergeCell ref="A218:A220"/>
    <mergeCell ref="B218:B220"/>
    <mergeCell ref="J218:J220"/>
    <mergeCell ref="A221:A223"/>
    <mergeCell ref="B221:B223"/>
    <mergeCell ref="J221:J223"/>
    <mergeCell ref="A200:A202"/>
    <mergeCell ref="B200:B202"/>
    <mergeCell ref="J200:J202"/>
    <mergeCell ref="A203:A205"/>
    <mergeCell ref="B203:B205"/>
    <mergeCell ref="J203:J205"/>
    <mergeCell ref="A1:J1"/>
    <mergeCell ref="A224:A226"/>
    <mergeCell ref="B224:B226"/>
    <mergeCell ref="J224:J226"/>
    <mergeCell ref="A212:A214"/>
    <mergeCell ref="B212:B214"/>
    <mergeCell ref="J212:J214"/>
    <mergeCell ref="A215:A217"/>
    <mergeCell ref="B215:B217"/>
    <mergeCell ref="J215:J217"/>
    <mergeCell ref="A206:A208"/>
    <mergeCell ref="B206:B208"/>
    <mergeCell ref="J206:J208"/>
    <mergeCell ref="A209:A211"/>
    <mergeCell ref="B209:B211"/>
    <mergeCell ref="J209:J211"/>
    <mergeCell ref="A194:A196"/>
    <mergeCell ref="B194:B196"/>
    <mergeCell ref="A230:A232"/>
    <mergeCell ref="B230:B232"/>
    <mergeCell ref="J230:J232"/>
    <mergeCell ref="A233:A235"/>
    <mergeCell ref="B233:B235"/>
    <mergeCell ref="J233:J235"/>
    <mergeCell ref="A236:A238"/>
    <mergeCell ref="B236:B238"/>
    <mergeCell ref="J236:J238"/>
    <mergeCell ref="A239:A241"/>
    <mergeCell ref="B239:B241"/>
    <mergeCell ref="J239:J241"/>
    <mergeCell ref="A242:A244"/>
    <mergeCell ref="B242:B244"/>
    <mergeCell ref="J242:J244"/>
    <mergeCell ref="A245:A247"/>
    <mergeCell ref="B245:B247"/>
    <mergeCell ref="J245:J247"/>
    <mergeCell ref="A248:A250"/>
    <mergeCell ref="B248:B250"/>
    <mergeCell ref="J248:J250"/>
    <mergeCell ref="A251:A253"/>
    <mergeCell ref="B251:B253"/>
    <mergeCell ref="J251:J253"/>
    <mergeCell ref="A254:A256"/>
    <mergeCell ref="B254:B256"/>
    <mergeCell ref="J254:J256"/>
    <mergeCell ref="A257:A259"/>
    <mergeCell ref="B257:B259"/>
    <mergeCell ref="J257:J259"/>
    <mergeCell ref="A260:A262"/>
    <mergeCell ref="B260:B262"/>
    <mergeCell ref="J260:J262"/>
    <mergeCell ref="A263:A265"/>
    <mergeCell ref="B263:B265"/>
    <mergeCell ref="J263:J265"/>
    <mergeCell ref="A266:A268"/>
    <mergeCell ref="B266:B268"/>
    <mergeCell ref="J266:J268"/>
    <mergeCell ref="A269:A271"/>
    <mergeCell ref="B269:B271"/>
    <mergeCell ref="J269:J271"/>
    <mergeCell ref="A272:A274"/>
    <mergeCell ref="B272:B274"/>
    <mergeCell ref="J272:J274"/>
    <mergeCell ref="A275:A277"/>
    <mergeCell ref="B275:B277"/>
    <mergeCell ref="J275:J277"/>
    <mergeCell ref="A278:A280"/>
    <mergeCell ref="B278:B280"/>
    <mergeCell ref="J278:J280"/>
    <mergeCell ref="A281:A283"/>
    <mergeCell ref="B281:B283"/>
    <mergeCell ref="J281:J283"/>
    <mergeCell ref="A284:A286"/>
    <mergeCell ref="B284:B286"/>
    <mergeCell ref="J284:J286"/>
    <mergeCell ref="A287:A289"/>
    <mergeCell ref="B287:B289"/>
    <mergeCell ref="J287:J289"/>
    <mergeCell ref="A290:A292"/>
    <mergeCell ref="B290:B292"/>
    <mergeCell ref="J290:J292"/>
    <mergeCell ref="A293:A295"/>
    <mergeCell ref="B293:B295"/>
    <mergeCell ref="J293:J295"/>
    <mergeCell ref="A296:A298"/>
    <mergeCell ref="B296:B298"/>
    <mergeCell ref="J296:J298"/>
    <mergeCell ref="A299:A301"/>
    <mergeCell ref="B299:B301"/>
    <mergeCell ref="J299:J301"/>
    <mergeCell ref="A302:A304"/>
    <mergeCell ref="B302:B304"/>
    <mergeCell ref="J302:J304"/>
    <mergeCell ref="A305:A307"/>
    <mergeCell ref="B305:B307"/>
    <mergeCell ref="J305:J307"/>
    <mergeCell ref="A308:A310"/>
    <mergeCell ref="B308:B310"/>
    <mergeCell ref="J308:J310"/>
    <mergeCell ref="A311:A313"/>
    <mergeCell ref="B311:B313"/>
    <mergeCell ref="J311:J313"/>
    <mergeCell ref="A314:A316"/>
    <mergeCell ref="B314:B316"/>
    <mergeCell ref="J314:J316"/>
    <mergeCell ref="A317:A319"/>
    <mergeCell ref="B317:B319"/>
    <mergeCell ref="J317:J319"/>
    <mergeCell ref="A320:A322"/>
    <mergeCell ref="B320:B322"/>
    <mergeCell ref="J320:J322"/>
    <mergeCell ref="A323:A325"/>
    <mergeCell ref="B323:B325"/>
    <mergeCell ref="J323:J325"/>
    <mergeCell ref="A326:A328"/>
    <mergeCell ref="B326:B328"/>
    <mergeCell ref="J326:J328"/>
    <mergeCell ref="A329:A331"/>
    <mergeCell ref="B329:B331"/>
    <mergeCell ref="J329:J331"/>
    <mergeCell ref="A332:A334"/>
    <mergeCell ref="B332:B334"/>
    <mergeCell ref="J332:J334"/>
    <mergeCell ref="A335:A337"/>
    <mergeCell ref="B335:B337"/>
    <mergeCell ref="J335:J337"/>
    <mergeCell ref="A338:A340"/>
    <mergeCell ref="B338:B340"/>
    <mergeCell ref="J338:J340"/>
    <mergeCell ref="A341:A343"/>
    <mergeCell ref="B341:B343"/>
    <mergeCell ref="J341:J343"/>
    <mergeCell ref="A344:A346"/>
    <mergeCell ref="B344:B346"/>
    <mergeCell ref="J344:J346"/>
    <mergeCell ref="A347:A349"/>
    <mergeCell ref="B347:B349"/>
    <mergeCell ref="J347:J349"/>
    <mergeCell ref="A350:A352"/>
    <mergeCell ref="B350:B352"/>
    <mergeCell ref="J350:J352"/>
    <mergeCell ref="A353:A355"/>
    <mergeCell ref="B353:B355"/>
    <mergeCell ref="J353:J355"/>
  </mergeCells>
  <conditionalFormatting sqref="A80:A85">
    <cfRule type="duplicateValues" dxfId="2" priority="1"/>
  </conditionalFormatting>
  <conditionalFormatting sqref="B80:B85">
    <cfRule type="duplicateValues" dxfId="1" priority="2"/>
  </conditionalFormatting>
  <pageMargins left="0.511811024" right="0.511811024" top="0.78740157499999996" bottom="0.78740157499999996" header="0.31496062000000002" footer="0.31496062000000002"/>
  <pageSetup paperSize="9" scale="46" orientation="portrait" horizontalDpi="1200" verticalDpi="1200" r:id="rId1"/>
  <ignoredErrors>
    <ignoredError sqref="J86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showGridLines="0" topLeftCell="A22" zoomScaleNormal="100" workbookViewId="0">
      <selection activeCell="B37" sqref="B37"/>
    </sheetView>
  </sheetViews>
  <sheetFormatPr defaultRowHeight="15" x14ac:dyDescent="0.25"/>
  <cols>
    <col min="1" max="1" width="12.7109375" style="316" customWidth="1"/>
    <col min="2" max="2" width="47.85546875" style="316" customWidth="1"/>
    <col min="3" max="3" width="15.140625" style="316" customWidth="1"/>
    <col min="4" max="4" width="20" style="316" customWidth="1"/>
    <col min="5" max="16384" width="9.140625" style="316"/>
  </cols>
  <sheetData>
    <row r="1" spans="1:4" ht="15.75" thickBot="1" x14ac:dyDescent="0.3">
      <c r="A1" s="827" t="s">
        <v>172</v>
      </c>
      <c r="B1" s="828"/>
      <c r="C1" s="828"/>
      <c r="D1" s="829"/>
    </row>
    <row r="2" spans="1:4" x14ac:dyDescent="0.25">
      <c r="A2" s="830" t="s">
        <v>4</v>
      </c>
      <c r="B2" s="832" t="s">
        <v>1</v>
      </c>
      <c r="C2" s="832" t="s">
        <v>173</v>
      </c>
      <c r="D2" s="834"/>
    </row>
    <row r="3" spans="1:4" ht="15.75" thickBot="1" x14ac:dyDescent="0.3">
      <c r="A3" s="831"/>
      <c r="B3" s="833"/>
      <c r="C3" s="317" t="s">
        <v>174</v>
      </c>
      <c r="D3" s="318" t="s">
        <v>175</v>
      </c>
    </row>
    <row r="4" spans="1:4" x14ac:dyDescent="0.25">
      <c r="A4" s="822" t="s">
        <v>176</v>
      </c>
      <c r="B4" s="823"/>
      <c r="C4" s="823"/>
      <c r="D4" s="824"/>
    </row>
    <row r="5" spans="1:4" x14ac:dyDescent="0.25">
      <c r="A5" s="319" t="s">
        <v>177</v>
      </c>
      <c r="B5" s="320" t="s">
        <v>178</v>
      </c>
      <c r="C5" s="321">
        <v>0</v>
      </c>
      <c r="D5" s="322">
        <v>0</v>
      </c>
    </row>
    <row r="6" spans="1:4" x14ac:dyDescent="0.25">
      <c r="A6" s="319" t="s">
        <v>179</v>
      </c>
      <c r="B6" s="320" t="s">
        <v>180</v>
      </c>
      <c r="C6" s="321">
        <v>1.4999999999999999E-2</v>
      </c>
      <c r="D6" s="322">
        <v>1.4999999999999999E-2</v>
      </c>
    </row>
    <row r="7" spans="1:4" x14ac:dyDescent="0.25">
      <c r="A7" s="319" t="s">
        <v>181</v>
      </c>
      <c r="B7" s="320" t="s">
        <v>182</v>
      </c>
      <c r="C7" s="321">
        <v>0.01</v>
      </c>
      <c r="D7" s="322">
        <v>0.01</v>
      </c>
    </row>
    <row r="8" spans="1:4" x14ac:dyDescent="0.25">
      <c r="A8" s="319" t="s">
        <v>183</v>
      </c>
      <c r="B8" s="320" t="s">
        <v>184</v>
      </c>
      <c r="C8" s="321">
        <v>2E-3</v>
      </c>
      <c r="D8" s="322">
        <v>2E-3</v>
      </c>
    </row>
    <row r="9" spans="1:4" x14ac:dyDescent="0.25">
      <c r="A9" s="319" t="s">
        <v>185</v>
      </c>
      <c r="B9" s="320" t="s">
        <v>186</v>
      </c>
      <c r="C9" s="321">
        <v>6.0000000000000001E-3</v>
      </c>
      <c r="D9" s="322">
        <v>6.0000000000000001E-3</v>
      </c>
    </row>
    <row r="10" spans="1:4" x14ac:dyDescent="0.25">
      <c r="A10" s="319" t="s">
        <v>187</v>
      </c>
      <c r="B10" s="320" t="s">
        <v>188</v>
      </c>
      <c r="C10" s="321">
        <v>2.5000000000000001E-2</v>
      </c>
      <c r="D10" s="322">
        <v>2.5000000000000001E-2</v>
      </c>
    </row>
    <row r="11" spans="1:4" x14ac:dyDescent="0.25">
      <c r="A11" s="319" t="s">
        <v>189</v>
      </c>
      <c r="B11" s="320" t="s">
        <v>190</v>
      </c>
      <c r="C11" s="321">
        <v>0.03</v>
      </c>
      <c r="D11" s="322">
        <v>0.03</v>
      </c>
    </row>
    <row r="12" spans="1:4" x14ac:dyDescent="0.25">
      <c r="A12" s="319" t="s">
        <v>191</v>
      </c>
      <c r="B12" s="320" t="s">
        <v>192</v>
      </c>
      <c r="C12" s="321">
        <v>0.08</v>
      </c>
      <c r="D12" s="322">
        <v>0.08</v>
      </c>
    </row>
    <row r="13" spans="1:4" x14ac:dyDescent="0.25">
      <c r="A13" s="319" t="s">
        <v>193</v>
      </c>
      <c r="B13" s="320" t="s">
        <v>194</v>
      </c>
      <c r="C13" s="321">
        <v>0</v>
      </c>
      <c r="D13" s="322">
        <v>0</v>
      </c>
    </row>
    <row r="14" spans="1:4" x14ac:dyDescent="0.25">
      <c r="A14" s="323" t="s">
        <v>195</v>
      </c>
      <c r="B14" s="324" t="s">
        <v>196</v>
      </c>
      <c r="C14" s="325">
        <v>0.16800000000000001</v>
      </c>
      <c r="D14" s="326">
        <v>0.16800000000000001</v>
      </c>
    </row>
    <row r="15" spans="1:4" x14ac:dyDescent="0.25">
      <c r="A15" s="822" t="s">
        <v>197</v>
      </c>
      <c r="B15" s="823"/>
      <c r="C15" s="823"/>
      <c r="D15" s="824"/>
    </row>
    <row r="16" spans="1:4" x14ac:dyDescent="0.25">
      <c r="A16" s="319" t="s">
        <v>198</v>
      </c>
      <c r="B16" s="320" t="s">
        <v>199</v>
      </c>
      <c r="C16" s="321">
        <v>0.17780000000000001</v>
      </c>
      <c r="D16" s="327" t="s">
        <v>200</v>
      </c>
    </row>
    <row r="17" spans="1:4" x14ac:dyDescent="0.25">
      <c r="A17" s="319" t="s">
        <v>201</v>
      </c>
      <c r="B17" s="320" t="s">
        <v>202</v>
      </c>
      <c r="C17" s="321">
        <v>3.6700000000000003E-2</v>
      </c>
      <c r="D17" s="327" t="s">
        <v>200</v>
      </c>
    </row>
    <row r="18" spans="1:4" x14ac:dyDescent="0.25">
      <c r="A18" s="319" t="s">
        <v>203</v>
      </c>
      <c r="B18" s="320" t="s">
        <v>204</v>
      </c>
      <c r="C18" s="321">
        <v>9.1999999999999998E-3</v>
      </c>
      <c r="D18" s="322">
        <v>6.8999999999999999E-3</v>
      </c>
    </row>
    <row r="19" spans="1:4" x14ac:dyDescent="0.25">
      <c r="A19" s="319" t="s">
        <v>205</v>
      </c>
      <c r="B19" s="320" t="s">
        <v>206</v>
      </c>
      <c r="C19" s="321">
        <v>0.11070000000000001</v>
      </c>
      <c r="D19" s="322">
        <v>8.3299999999999999E-2</v>
      </c>
    </row>
    <row r="20" spans="1:4" x14ac:dyDescent="0.25">
      <c r="A20" s="319" t="s">
        <v>207</v>
      </c>
      <c r="B20" s="320" t="s">
        <v>208</v>
      </c>
      <c r="C20" s="321">
        <v>8.0000000000000004E-4</v>
      </c>
      <c r="D20" s="322">
        <v>5.9999999999999995E-4</v>
      </c>
    </row>
    <row r="21" spans="1:4" x14ac:dyDescent="0.25">
      <c r="A21" s="319" t="s">
        <v>209</v>
      </c>
      <c r="B21" s="320" t="s">
        <v>210</v>
      </c>
      <c r="C21" s="321">
        <v>7.4000000000000003E-3</v>
      </c>
      <c r="D21" s="322">
        <v>5.5999999999999999E-3</v>
      </c>
    </row>
    <row r="22" spans="1:4" x14ac:dyDescent="0.25">
      <c r="A22" s="319" t="s">
        <v>211</v>
      </c>
      <c r="B22" s="320" t="s">
        <v>212</v>
      </c>
      <c r="C22" s="321">
        <v>1.0999999999999999E-2</v>
      </c>
      <c r="D22" s="327" t="s">
        <v>200</v>
      </c>
    </row>
    <row r="23" spans="1:4" x14ac:dyDescent="0.25">
      <c r="A23" s="319" t="s">
        <v>213</v>
      </c>
      <c r="B23" s="320" t="s">
        <v>214</v>
      </c>
      <c r="C23" s="321">
        <v>1.2999999999999999E-3</v>
      </c>
      <c r="D23" s="322">
        <v>8.9999999999999998E-4</v>
      </c>
    </row>
    <row r="24" spans="1:4" x14ac:dyDescent="0.25">
      <c r="A24" s="319" t="s">
        <v>215</v>
      </c>
      <c r="B24" s="320" t="s">
        <v>216</v>
      </c>
      <c r="C24" s="321">
        <v>0.1376</v>
      </c>
      <c r="D24" s="322">
        <v>0.1036</v>
      </c>
    </row>
    <row r="25" spans="1:4" x14ac:dyDescent="0.25">
      <c r="A25" s="319" t="s">
        <v>217</v>
      </c>
      <c r="B25" s="320" t="s">
        <v>218</v>
      </c>
      <c r="C25" s="321">
        <v>2.9999999999999997E-4</v>
      </c>
      <c r="D25" s="322">
        <v>2.0000000000000001E-4</v>
      </c>
    </row>
    <row r="26" spans="1:4" x14ac:dyDescent="0.25">
      <c r="A26" s="323" t="s">
        <v>219</v>
      </c>
      <c r="B26" s="324" t="s">
        <v>196</v>
      </c>
      <c r="C26" s="325">
        <v>0.49280000000000002</v>
      </c>
      <c r="D26" s="326">
        <v>0.2011</v>
      </c>
    </row>
    <row r="27" spans="1:4" x14ac:dyDescent="0.25">
      <c r="A27" s="822" t="s">
        <v>220</v>
      </c>
      <c r="B27" s="823"/>
      <c r="C27" s="823"/>
      <c r="D27" s="824"/>
    </row>
    <row r="28" spans="1:4" x14ac:dyDescent="0.25">
      <c r="A28" s="319" t="s">
        <v>221</v>
      </c>
      <c r="B28" s="320" t="s">
        <v>222</v>
      </c>
      <c r="C28" s="321">
        <v>8.2799999999999999E-2</v>
      </c>
      <c r="D28" s="322">
        <v>6.2300000000000001E-2</v>
      </c>
    </row>
    <row r="29" spans="1:4" x14ac:dyDescent="0.25">
      <c r="A29" s="319" t="s">
        <v>223</v>
      </c>
      <c r="B29" s="320" t="s">
        <v>224</v>
      </c>
      <c r="C29" s="321">
        <v>2E-3</v>
      </c>
      <c r="D29" s="322">
        <v>1.5E-3</v>
      </c>
    </row>
    <row r="30" spans="1:4" x14ac:dyDescent="0.25">
      <c r="A30" s="319" t="s">
        <v>225</v>
      </c>
      <c r="B30" s="320" t="s">
        <v>226</v>
      </c>
      <c r="C30" s="321">
        <v>9.2999999999999992E-3</v>
      </c>
      <c r="D30" s="322">
        <v>7.0000000000000001E-3</v>
      </c>
    </row>
    <row r="31" spans="1:4" x14ac:dyDescent="0.25">
      <c r="A31" s="319" t="s">
        <v>227</v>
      </c>
      <c r="B31" s="320" t="s">
        <v>228</v>
      </c>
      <c r="C31" s="321">
        <v>4.8399999999999999E-2</v>
      </c>
      <c r="D31" s="322">
        <v>3.6499999999999998E-2</v>
      </c>
    </row>
    <row r="32" spans="1:4" x14ac:dyDescent="0.25">
      <c r="A32" s="319" t="s">
        <v>229</v>
      </c>
      <c r="B32" s="320" t="s">
        <v>230</v>
      </c>
      <c r="C32" s="321">
        <v>7.0000000000000001E-3</v>
      </c>
      <c r="D32" s="322">
        <v>5.1999999999999998E-3</v>
      </c>
    </row>
    <row r="33" spans="1:4" x14ac:dyDescent="0.25">
      <c r="A33" s="323" t="s">
        <v>231</v>
      </c>
      <c r="B33" s="324" t="s">
        <v>196</v>
      </c>
      <c r="C33" s="325">
        <v>0.14949999999999999</v>
      </c>
      <c r="D33" s="326">
        <v>0.1125</v>
      </c>
    </row>
    <row r="34" spans="1:4" x14ac:dyDescent="0.25">
      <c r="A34" s="822" t="s">
        <v>232</v>
      </c>
      <c r="B34" s="823"/>
      <c r="C34" s="823"/>
      <c r="D34" s="824"/>
    </row>
    <row r="35" spans="1:4" x14ac:dyDescent="0.25">
      <c r="A35" s="319" t="s">
        <v>233</v>
      </c>
      <c r="B35" s="320" t="s">
        <v>234</v>
      </c>
      <c r="C35" s="321">
        <v>8.2799999999999999E-2</v>
      </c>
      <c r="D35" s="322">
        <v>3.3799999999999997E-2</v>
      </c>
    </row>
    <row r="36" spans="1:4" ht="24" x14ac:dyDescent="0.25">
      <c r="A36" s="319" t="s">
        <v>235</v>
      </c>
      <c r="B36" s="320" t="s">
        <v>236</v>
      </c>
      <c r="C36" s="321">
        <v>7.0000000000000001E-3</v>
      </c>
      <c r="D36" s="322">
        <v>5.1999999999999998E-3</v>
      </c>
    </row>
    <row r="37" spans="1:4" x14ac:dyDescent="0.25">
      <c r="A37" s="323" t="s">
        <v>237</v>
      </c>
      <c r="B37" s="324" t="s">
        <v>196</v>
      </c>
      <c r="C37" s="325">
        <v>8.9800000000000005E-2</v>
      </c>
      <c r="D37" s="326">
        <v>3.9E-2</v>
      </c>
    </row>
    <row r="38" spans="1:4" ht="15.75" thickBot="1" x14ac:dyDescent="0.3">
      <c r="A38" s="825" t="s">
        <v>238</v>
      </c>
      <c r="B38" s="826"/>
      <c r="C38" s="328">
        <v>0.90010000000000001</v>
      </c>
      <c r="D38" s="329">
        <v>0.52059999999999995</v>
      </c>
    </row>
  </sheetData>
  <mergeCells count="9">
    <mergeCell ref="A27:D27"/>
    <mergeCell ref="A34:D34"/>
    <mergeCell ref="A38:B38"/>
    <mergeCell ref="A1:D1"/>
    <mergeCell ref="A2:A3"/>
    <mergeCell ref="B2:B3"/>
    <mergeCell ref="C2:D2"/>
    <mergeCell ref="A4:D4"/>
    <mergeCell ref="A15:D15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showGridLines="0" view="pageBreakPreview" topLeftCell="A22" zoomScaleNormal="100" zoomScaleSheetLayoutView="100" workbookViewId="0">
      <selection activeCell="A35" sqref="A35"/>
    </sheetView>
  </sheetViews>
  <sheetFormatPr defaultRowHeight="12.75" x14ac:dyDescent="0.2"/>
  <cols>
    <col min="1" max="1" width="36.140625" style="188" customWidth="1"/>
    <col min="2" max="2" width="26.5703125" style="188" customWidth="1"/>
    <col min="3" max="3" width="15.28515625" style="188" customWidth="1"/>
    <col min="4" max="256" width="9.140625" style="188"/>
    <col min="257" max="257" width="36.140625" style="188" customWidth="1"/>
    <col min="258" max="258" width="26.5703125" style="188" customWidth="1"/>
    <col min="259" max="259" width="15.28515625" style="188" customWidth="1"/>
    <col min="260" max="512" width="9.140625" style="188"/>
    <col min="513" max="513" width="36.140625" style="188" customWidth="1"/>
    <col min="514" max="514" width="26.5703125" style="188" customWidth="1"/>
    <col min="515" max="515" width="15.28515625" style="188" customWidth="1"/>
    <col min="516" max="768" width="9.140625" style="188"/>
    <col min="769" max="769" width="36.140625" style="188" customWidth="1"/>
    <col min="770" max="770" width="26.5703125" style="188" customWidth="1"/>
    <col min="771" max="771" width="15.28515625" style="188" customWidth="1"/>
    <col min="772" max="1024" width="9.140625" style="188"/>
    <col min="1025" max="1025" width="36.140625" style="188" customWidth="1"/>
    <col min="1026" max="1026" width="26.5703125" style="188" customWidth="1"/>
    <col min="1027" max="1027" width="15.28515625" style="188" customWidth="1"/>
    <col min="1028" max="1280" width="9.140625" style="188"/>
    <col min="1281" max="1281" width="36.140625" style="188" customWidth="1"/>
    <col min="1282" max="1282" width="26.5703125" style="188" customWidth="1"/>
    <col min="1283" max="1283" width="15.28515625" style="188" customWidth="1"/>
    <col min="1284" max="1536" width="9.140625" style="188"/>
    <col min="1537" max="1537" width="36.140625" style="188" customWidth="1"/>
    <col min="1538" max="1538" width="26.5703125" style="188" customWidth="1"/>
    <col min="1539" max="1539" width="15.28515625" style="188" customWidth="1"/>
    <col min="1540" max="1792" width="9.140625" style="188"/>
    <col min="1793" max="1793" width="36.140625" style="188" customWidth="1"/>
    <col min="1794" max="1794" width="26.5703125" style="188" customWidth="1"/>
    <col min="1795" max="1795" width="15.28515625" style="188" customWidth="1"/>
    <col min="1796" max="2048" width="9.140625" style="188"/>
    <col min="2049" max="2049" width="36.140625" style="188" customWidth="1"/>
    <col min="2050" max="2050" width="26.5703125" style="188" customWidth="1"/>
    <col min="2051" max="2051" width="15.28515625" style="188" customWidth="1"/>
    <col min="2052" max="2304" width="9.140625" style="188"/>
    <col min="2305" max="2305" width="36.140625" style="188" customWidth="1"/>
    <col min="2306" max="2306" width="26.5703125" style="188" customWidth="1"/>
    <col min="2307" max="2307" width="15.28515625" style="188" customWidth="1"/>
    <col min="2308" max="2560" width="9.140625" style="188"/>
    <col min="2561" max="2561" width="36.140625" style="188" customWidth="1"/>
    <col min="2562" max="2562" width="26.5703125" style="188" customWidth="1"/>
    <col min="2563" max="2563" width="15.28515625" style="188" customWidth="1"/>
    <col min="2564" max="2816" width="9.140625" style="188"/>
    <col min="2817" max="2817" width="36.140625" style="188" customWidth="1"/>
    <col min="2818" max="2818" width="26.5703125" style="188" customWidth="1"/>
    <col min="2819" max="2819" width="15.28515625" style="188" customWidth="1"/>
    <col min="2820" max="3072" width="9.140625" style="188"/>
    <col min="3073" max="3073" width="36.140625" style="188" customWidth="1"/>
    <col min="3074" max="3074" width="26.5703125" style="188" customWidth="1"/>
    <col min="3075" max="3075" width="15.28515625" style="188" customWidth="1"/>
    <col min="3076" max="3328" width="9.140625" style="188"/>
    <col min="3329" max="3329" width="36.140625" style="188" customWidth="1"/>
    <col min="3330" max="3330" width="26.5703125" style="188" customWidth="1"/>
    <col min="3331" max="3331" width="15.28515625" style="188" customWidth="1"/>
    <col min="3332" max="3584" width="9.140625" style="188"/>
    <col min="3585" max="3585" width="36.140625" style="188" customWidth="1"/>
    <col min="3586" max="3586" width="26.5703125" style="188" customWidth="1"/>
    <col min="3587" max="3587" width="15.28515625" style="188" customWidth="1"/>
    <col min="3588" max="3840" width="9.140625" style="188"/>
    <col min="3841" max="3841" width="36.140625" style="188" customWidth="1"/>
    <col min="3842" max="3842" width="26.5703125" style="188" customWidth="1"/>
    <col min="3843" max="3843" width="15.28515625" style="188" customWidth="1"/>
    <col min="3844" max="4096" width="9.140625" style="188"/>
    <col min="4097" max="4097" width="36.140625" style="188" customWidth="1"/>
    <col min="4098" max="4098" width="26.5703125" style="188" customWidth="1"/>
    <col min="4099" max="4099" width="15.28515625" style="188" customWidth="1"/>
    <col min="4100" max="4352" width="9.140625" style="188"/>
    <col min="4353" max="4353" width="36.140625" style="188" customWidth="1"/>
    <col min="4354" max="4354" width="26.5703125" style="188" customWidth="1"/>
    <col min="4355" max="4355" width="15.28515625" style="188" customWidth="1"/>
    <col min="4356" max="4608" width="9.140625" style="188"/>
    <col min="4609" max="4609" width="36.140625" style="188" customWidth="1"/>
    <col min="4610" max="4610" width="26.5703125" style="188" customWidth="1"/>
    <col min="4611" max="4611" width="15.28515625" style="188" customWidth="1"/>
    <col min="4612" max="4864" width="9.140625" style="188"/>
    <col min="4865" max="4865" width="36.140625" style="188" customWidth="1"/>
    <col min="4866" max="4866" width="26.5703125" style="188" customWidth="1"/>
    <col min="4867" max="4867" width="15.28515625" style="188" customWidth="1"/>
    <col min="4868" max="5120" width="9.140625" style="188"/>
    <col min="5121" max="5121" width="36.140625" style="188" customWidth="1"/>
    <col min="5122" max="5122" width="26.5703125" style="188" customWidth="1"/>
    <col min="5123" max="5123" width="15.28515625" style="188" customWidth="1"/>
    <col min="5124" max="5376" width="9.140625" style="188"/>
    <col min="5377" max="5377" width="36.140625" style="188" customWidth="1"/>
    <col min="5378" max="5378" width="26.5703125" style="188" customWidth="1"/>
    <col min="5379" max="5379" width="15.28515625" style="188" customWidth="1"/>
    <col min="5380" max="5632" width="9.140625" style="188"/>
    <col min="5633" max="5633" width="36.140625" style="188" customWidth="1"/>
    <col min="5634" max="5634" width="26.5703125" style="188" customWidth="1"/>
    <col min="5635" max="5635" width="15.28515625" style="188" customWidth="1"/>
    <col min="5636" max="5888" width="9.140625" style="188"/>
    <col min="5889" max="5889" width="36.140625" style="188" customWidth="1"/>
    <col min="5890" max="5890" width="26.5703125" style="188" customWidth="1"/>
    <col min="5891" max="5891" width="15.28515625" style="188" customWidth="1"/>
    <col min="5892" max="6144" width="9.140625" style="188"/>
    <col min="6145" max="6145" width="36.140625" style="188" customWidth="1"/>
    <col min="6146" max="6146" width="26.5703125" style="188" customWidth="1"/>
    <col min="6147" max="6147" width="15.28515625" style="188" customWidth="1"/>
    <col min="6148" max="6400" width="9.140625" style="188"/>
    <col min="6401" max="6401" width="36.140625" style="188" customWidth="1"/>
    <col min="6402" max="6402" width="26.5703125" style="188" customWidth="1"/>
    <col min="6403" max="6403" width="15.28515625" style="188" customWidth="1"/>
    <col min="6404" max="6656" width="9.140625" style="188"/>
    <col min="6657" max="6657" width="36.140625" style="188" customWidth="1"/>
    <col min="6658" max="6658" width="26.5703125" style="188" customWidth="1"/>
    <col min="6659" max="6659" width="15.28515625" style="188" customWidth="1"/>
    <col min="6660" max="6912" width="9.140625" style="188"/>
    <col min="6913" max="6913" width="36.140625" style="188" customWidth="1"/>
    <col min="6914" max="6914" width="26.5703125" style="188" customWidth="1"/>
    <col min="6915" max="6915" width="15.28515625" style="188" customWidth="1"/>
    <col min="6916" max="7168" width="9.140625" style="188"/>
    <col min="7169" max="7169" width="36.140625" style="188" customWidth="1"/>
    <col min="7170" max="7170" width="26.5703125" style="188" customWidth="1"/>
    <col min="7171" max="7171" width="15.28515625" style="188" customWidth="1"/>
    <col min="7172" max="7424" width="9.140625" style="188"/>
    <col min="7425" max="7425" width="36.140625" style="188" customWidth="1"/>
    <col min="7426" max="7426" width="26.5703125" style="188" customWidth="1"/>
    <col min="7427" max="7427" width="15.28515625" style="188" customWidth="1"/>
    <col min="7428" max="7680" width="9.140625" style="188"/>
    <col min="7681" max="7681" width="36.140625" style="188" customWidth="1"/>
    <col min="7682" max="7682" width="26.5703125" style="188" customWidth="1"/>
    <col min="7683" max="7683" width="15.28515625" style="188" customWidth="1"/>
    <col min="7684" max="7936" width="9.140625" style="188"/>
    <col min="7937" max="7937" width="36.140625" style="188" customWidth="1"/>
    <col min="7938" max="7938" width="26.5703125" style="188" customWidth="1"/>
    <col min="7939" max="7939" width="15.28515625" style="188" customWidth="1"/>
    <col min="7940" max="8192" width="9.140625" style="188"/>
    <col min="8193" max="8193" width="36.140625" style="188" customWidth="1"/>
    <col min="8194" max="8194" width="26.5703125" style="188" customWidth="1"/>
    <col min="8195" max="8195" width="15.28515625" style="188" customWidth="1"/>
    <col min="8196" max="8448" width="9.140625" style="188"/>
    <col min="8449" max="8449" width="36.140625" style="188" customWidth="1"/>
    <col min="8450" max="8450" width="26.5703125" style="188" customWidth="1"/>
    <col min="8451" max="8451" width="15.28515625" style="188" customWidth="1"/>
    <col min="8452" max="8704" width="9.140625" style="188"/>
    <col min="8705" max="8705" width="36.140625" style="188" customWidth="1"/>
    <col min="8706" max="8706" width="26.5703125" style="188" customWidth="1"/>
    <col min="8707" max="8707" width="15.28515625" style="188" customWidth="1"/>
    <col min="8708" max="8960" width="9.140625" style="188"/>
    <col min="8961" max="8961" width="36.140625" style="188" customWidth="1"/>
    <col min="8962" max="8962" width="26.5703125" style="188" customWidth="1"/>
    <col min="8963" max="8963" width="15.28515625" style="188" customWidth="1"/>
    <col min="8964" max="9216" width="9.140625" style="188"/>
    <col min="9217" max="9217" width="36.140625" style="188" customWidth="1"/>
    <col min="9218" max="9218" width="26.5703125" style="188" customWidth="1"/>
    <col min="9219" max="9219" width="15.28515625" style="188" customWidth="1"/>
    <col min="9220" max="9472" width="9.140625" style="188"/>
    <col min="9473" max="9473" width="36.140625" style="188" customWidth="1"/>
    <col min="9474" max="9474" width="26.5703125" style="188" customWidth="1"/>
    <col min="9475" max="9475" width="15.28515625" style="188" customWidth="1"/>
    <col min="9476" max="9728" width="9.140625" style="188"/>
    <col min="9729" max="9729" width="36.140625" style="188" customWidth="1"/>
    <col min="9730" max="9730" width="26.5703125" style="188" customWidth="1"/>
    <col min="9731" max="9731" width="15.28515625" style="188" customWidth="1"/>
    <col min="9732" max="9984" width="9.140625" style="188"/>
    <col min="9985" max="9985" width="36.140625" style="188" customWidth="1"/>
    <col min="9986" max="9986" width="26.5703125" style="188" customWidth="1"/>
    <col min="9987" max="9987" width="15.28515625" style="188" customWidth="1"/>
    <col min="9988" max="10240" width="9.140625" style="188"/>
    <col min="10241" max="10241" width="36.140625" style="188" customWidth="1"/>
    <col min="10242" max="10242" width="26.5703125" style="188" customWidth="1"/>
    <col min="10243" max="10243" width="15.28515625" style="188" customWidth="1"/>
    <col min="10244" max="10496" width="9.140625" style="188"/>
    <col min="10497" max="10497" width="36.140625" style="188" customWidth="1"/>
    <col min="10498" max="10498" width="26.5703125" style="188" customWidth="1"/>
    <col min="10499" max="10499" width="15.28515625" style="188" customWidth="1"/>
    <col min="10500" max="10752" width="9.140625" style="188"/>
    <col min="10753" max="10753" width="36.140625" style="188" customWidth="1"/>
    <col min="10754" max="10754" width="26.5703125" style="188" customWidth="1"/>
    <col min="10755" max="10755" width="15.28515625" style="188" customWidth="1"/>
    <col min="10756" max="11008" width="9.140625" style="188"/>
    <col min="11009" max="11009" width="36.140625" style="188" customWidth="1"/>
    <col min="11010" max="11010" width="26.5703125" style="188" customWidth="1"/>
    <col min="11011" max="11011" width="15.28515625" style="188" customWidth="1"/>
    <col min="11012" max="11264" width="9.140625" style="188"/>
    <col min="11265" max="11265" width="36.140625" style="188" customWidth="1"/>
    <col min="11266" max="11266" width="26.5703125" style="188" customWidth="1"/>
    <col min="11267" max="11267" width="15.28515625" style="188" customWidth="1"/>
    <col min="11268" max="11520" width="9.140625" style="188"/>
    <col min="11521" max="11521" width="36.140625" style="188" customWidth="1"/>
    <col min="11522" max="11522" width="26.5703125" style="188" customWidth="1"/>
    <col min="11523" max="11523" width="15.28515625" style="188" customWidth="1"/>
    <col min="11524" max="11776" width="9.140625" style="188"/>
    <col min="11777" max="11777" width="36.140625" style="188" customWidth="1"/>
    <col min="11778" max="11778" width="26.5703125" style="188" customWidth="1"/>
    <col min="11779" max="11779" width="15.28515625" style="188" customWidth="1"/>
    <col min="11780" max="12032" width="9.140625" style="188"/>
    <col min="12033" max="12033" width="36.140625" style="188" customWidth="1"/>
    <col min="12034" max="12034" width="26.5703125" style="188" customWidth="1"/>
    <col min="12035" max="12035" width="15.28515625" style="188" customWidth="1"/>
    <col min="12036" max="12288" width="9.140625" style="188"/>
    <col min="12289" max="12289" width="36.140625" style="188" customWidth="1"/>
    <col min="12290" max="12290" width="26.5703125" style="188" customWidth="1"/>
    <col min="12291" max="12291" width="15.28515625" style="188" customWidth="1"/>
    <col min="12292" max="12544" width="9.140625" style="188"/>
    <col min="12545" max="12545" width="36.140625" style="188" customWidth="1"/>
    <col min="12546" max="12546" width="26.5703125" style="188" customWidth="1"/>
    <col min="12547" max="12547" width="15.28515625" style="188" customWidth="1"/>
    <col min="12548" max="12800" width="9.140625" style="188"/>
    <col min="12801" max="12801" width="36.140625" style="188" customWidth="1"/>
    <col min="12802" max="12802" width="26.5703125" style="188" customWidth="1"/>
    <col min="12803" max="12803" width="15.28515625" style="188" customWidth="1"/>
    <col min="12804" max="13056" width="9.140625" style="188"/>
    <col min="13057" max="13057" width="36.140625" style="188" customWidth="1"/>
    <col min="13058" max="13058" width="26.5703125" style="188" customWidth="1"/>
    <col min="13059" max="13059" width="15.28515625" style="188" customWidth="1"/>
    <col min="13060" max="13312" width="9.140625" style="188"/>
    <col min="13313" max="13313" width="36.140625" style="188" customWidth="1"/>
    <col min="13314" max="13314" width="26.5703125" style="188" customWidth="1"/>
    <col min="13315" max="13315" width="15.28515625" style="188" customWidth="1"/>
    <col min="13316" max="13568" width="9.140625" style="188"/>
    <col min="13569" max="13569" width="36.140625" style="188" customWidth="1"/>
    <col min="13570" max="13570" width="26.5703125" style="188" customWidth="1"/>
    <col min="13571" max="13571" width="15.28515625" style="188" customWidth="1"/>
    <col min="13572" max="13824" width="9.140625" style="188"/>
    <col min="13825" max="13825" width="36.140625" style="188" customWidth="1"/>
    <col min="13826" max="13826" width="26.5703125" style="188" customWidth="1"/>
    <col min="13827" max="13827" width="15.28515625" style="188" customWidth="1"/>
    <col min="13828" max="14080" width="9.140625" style="188"/>
    <col min="14081" max="14081" width="36.140625" style="188" customWidth="1"/>
    <col min="14082" max="14082" width="26.5703125" style="188" customWidth="1"/>
    <col min="14083" max="14083" width="15.28515625" style="188" customWidth="1"/>
    <col min="14084" max="14336" width="9.140625" style="188"/>
    <col min="14337" max="14337" width="36.140625" style="188" customWidth="1"/>
    <col min="14338" max="14338" width="26.5703125" style="188" customWidth="1"/>
    <col min="14339" max="14339" width="15.28515625" style="188" customWidth="1"/>
    <col min="14340" max="14592" width="9.140625" style="188"/>
    <col min="14593" max="14593" width="36.140625" style="188" customWidth="1"/>
    <col min="14594" max="14594" width="26.5703125" style="188" customWidth="1"/>
    <col min="14595" max="14595" width="15.28515625" style="188" customWidth="1"/>
    <col min="14596" max="14848" width="9.140625" style="188"/>
    <col min="14849" max="14849" width="36.140625" style="188" customWidth="1"/>
    <col min="14850" max="14850" width="26.5703125" style="188" customWidth="1"/>
    <col min="14851" max="14851" width="15.28515625" style="188" customWidth="1"/>
    <col min="14852" max="15104" width="9.140625" style="188"/>
    <col min="15105" max="15105" width="36.140625" style="188" customWidth="1"/>
    <col min="15106" max="15106" width="26.5703125" style="188" customWidth="1"/>
    <col min="15107" max="15107" width="15.28515625" style="188" customWidth="1"/>
    <col min="15108" max="15360" width="9.140625" style="188"/>
    <col min="15361" max="15361" width="36.140625" style="188" customWidth="1"/>
    <col min="15362" max="15362" width="26.5703125" style="188" customWidth="1"/>
    <col min="15363" max="15363" width="15.28515625" style="188" customWidth="1"/>
    <col min="15364" max="15616" width="9.140625" style="188"/>
    <col min="15617" max="15617" width="36.140625" style="188" customWidth="1"/>
    <col min="15618" max="15618" width="26.5703125" style="188" customWidth="1"/>
    <col min="15619" max="15619" width="15.28515625" style="188" customWidth="1"/>
    <col min="15620" max="15872" width="9.140625" style="188"/>
    <col min="15873" max="15873" width="36.140625" style="188" customWidth="1"/>
    <col min="15874" max="15874" width="26.5703125" style="188" customWidth="1"/>
    <col min="15875" max="15875" width="15.28515625" style="188" customWidth="1"/>
    <col min="15876" max="16128" width="9.140625" style="188"/>
    <col min="16129" max="16129" width="36.140625" style="188" customWidth="1"/>
    <col min="16130" max="16130" width="26.5703125" style="188" customWidth="1"/>
    <col min="16131" max="16131" width="15.28515625" style="188" customWidth="1"/>
    <col min="16132" max="16384" width="9.140625" style="188"/>
  </cols>
  <sheetData>
    <row r="1" spans="1:3" ht="15.75" thickBot="1" x14ac:dyDescent="0.3">
      <c r="A1" s="842" t="s">
        <v>469</v>
      </c>
      <c r="B1" s="843"/>
      <c r="C1" s="844"/>
    </row>
    <row r="2" spans="1:3" ht="15" x14ac:dyDescent="0.25">
      <c r="A2" s="845" t="s">
        <v>470</v>
      </c>
      <c r="B2" s="846"/>
      <c r="C2" s="189" t="s">
        <v>471</v>
      </c>
    </row>
    <row r="3" spans="1:3" x14ac:dyDescent="0.2">
      <c r="A3" s="190" t="s">
        <v>117</v>
      </c>
      <c r="B3" s="191" t="s">
        <v>118</v>
      </c>
      <c r="C3" s="192">
        <v>0.03</v>
      </c>
    </row>
    <row r="4" spans="1:3" x14ac:dyDescent="0.2">
      <c r="A4" s="190" t="s">
        <v>119</v>
      </c>
      <c r="B4" s="191" t="s">
        <v>120</v>
      </c>
      <c r="C4" s="192">
        <v>0.01</v>
      </c>
    </row>
    <row r="5" spans="1:3" x14ac:dyDescent="0.2">
      <c r="A5" s="190" t="s">
        <v>121</v>
      </c>
      <c r="B5" s="191" t="s">
        <v>122</v>
      </c>
      <c r="C5" s="192">
        <v>9.7000000000000003E-3</v>
      </c>
    </row>
    <row r="6" spans="1:3" x14ac:dyDescent="0.2">
      <c r="A6" s="190" t="s">
        <v>123</v>
      </c>
      <c r="B6" s="847" t="s">
        <v>124</v>
      </c>
      <c r="C6" s="192">
        <v>8.0000000000000002E-3</v>
      </c>
    </row>
    <row r="7" spans="1:3" x14ac:dyDescent="0.2">
      <c r="A7" s="193" t="s">
        <v>125</v>
      </c>
      <c r="B7" s="848"/>
      <c r="C7" s="194">
        <v>2E-3</v>
      </c>
    </row>
    <row r="8" spans="1:3" ht="15.75" thickBot="1" x14ac:dyDescent="0.3">
      <c r="A8" s="195"/>
      <c r="B8" s="196" t="s">
        <v>126</v>
      </c>
      <c r="C8" s="197">
        <f>SUM(C3:C7)</f>
        <v>5.9700000000000003E-2</v>
      </c>
    </row>
    <row r="9" spans="1:3" ht="15.75" thickTop="1" x14ac:dyDescent="0.25">
      <c r="A9" s="190"/>
      <c r="B9" s="198"/>
      <c r="C9" s="199"/>
    </row>
    <row r="10" spans="1:3" ht="15" x14ac:dyDescent="0.25">
      <c r="A10" s="849" t="s">
        <v>472</v>
      </c>
      <c r="B10" s="850"/>
      <c r="C10" s="200" t="s">
        <v>471</v>
      </c>
    </row>
    <row r="11" spans="1:3" x14ac:dyDescent="0.2">
      <c r="A11" s="201" t="s">
        <v>127</v>
      </c>
      <c r="B11" s="202" t="s">
        <v>128</v>
      </c>
      <c r="C11" s="203">
        <v>7.3999999999999996E-2</v>
      </c>
    </row>
    <row r="12" spans="1:3" ht="15.75" thickBot="1" x14ac:dyDescent="0.3">
      <c r="A12" s="195"/>
      <c r="B12" s="196" t="s">
        <v>126</v>
      </c>
      <c r="C12" s="197">
        <f>SUM(C11)</f>
        <v>7.3999999999999996E-2</v>
      </c>
    </row>
    <row r="13" spans="1:3" ht="13.5" thickTop="1" x14ac:dyDescent="0.2">
      <c r="A13" s="190"/>
      <c r="C13" s="204"/>
    </row>
    <row r="14" spans="1:3" ht="15" x14ac:dyDescent="0.25">
      <c r="A14" s="849" t="s">
        <v>473</v>
      </c>
      <c r="B14" s="850"/>
      <c r="C14" s="205">
        <v>0.14130000000000001</v>
      </c>
    </row>
    <row r="15" spans="1:3" ht="15" x14ac:dyDescent="0.25">
      <c r="A15" s="849" t="s">
        <v>474</v>
      </c>
      <c r="B15" s="850"/>
      <c r="C15" s="200" t="s">
        <v>471</v>
      </c>
    </row>
    <row r="16" spans="1:3" x14ac:dyDescent="0.2">
      <c r="A16" s="206" t="s">
        <v>129</v>
      </c>
      <c r="B16" s="188" t="s">
        <v>130</v>
      </c>
      <c r="C16" s="192">
        <v>6.4999999999999997E-3</v>
      </c>
    </row>
    <row r="17" spans="1:3" x14ac:dyDescent="0.2">
      <c r="A17" s="206" t="s">
        <v>131</v>
      </c>
      <c r="B17" s="188" t="s">
        <v>132</v>
      </c>
      <c r="C17" s="192">
        <v>0.03</v>
      </c>
    </row>
    <row r="18" spans="1:3" x14ac:dyDescent="0.2">
      <c r="A18" s="207" t="s">
        <v>133</v>
      </c>
      <c r="B18" s="208" t="s">
        <v>475</v>
      </c>
      <c r="C18" s="209">
        <v>0.02</v>
      </c>
    </row>
    <row r="19" spans="1:3" x14ac:dyDescent="0.2">
      <c r="A19" s="190" t="s">
        <v>134</v>
      </c>
      <c r="C19" s="192">
        <v>4.4999999999999998E-2</v>
      </c>
    </row>
    <row r="20" spans="1:3" ht="15.75" thickBot="1" x14ac:dyDescent="0.3">
      <c r="A20" s="210"/>
      <c r="B20" s="211" t="s">
        <v>126</v>
      </c>
      <c r="C20" s="212">
        <f>SUM(C16:C19)</f>
        <v>0.10149999999999999</v>
      </c>
    </row>
    <row r="21" spans="1:3" ht="13.5" thickTop="1" x14ac:dyDescent="0.2">
      <c r="A21" s="190"/>
      <c r="C21" s="204"/>
    </row>
    <row r="22" spans="1:3" ht="15.75" x14ac:dyDescent="0.2">
      <c r="A22" s="213" t="s">
        <v>476</v>
      </c>
      <c r="B22" s="214"/>
      <c r="C22" s="215">
        <f>ROUND((((1+C3+C6+C5+C7)*(1+C4)*(1+C11)/((1-C20)))-1),4)</f>
        <v>0.26729999999999998</v>
      </c>
    </row>
    <row r="23" spans="1:3" x14ac:dyDescent="0.2">
      <c r="A23" s="190" t="s">
        <v>135</v>
      </c>
      <c r="C23" s="192">
        <v>0.80220000000000002</v>
      </c>
    </row>
    <row r="24" spans="1:3" x14ac:dyDescent="0.2">
      <c r="A24" s="190" t="s">
        <v>171</v>
      </c>
      <c r="C24" s="192">
        <v>1</v>
      </c>
    </row>
    <row r="25" spans="1:3" ht="13.5" thickBot="1" x14ac:dyDescent="0.25">
      <c r="A25" s="210" t="s">
        <v>136</v>
      </c>
      <c r="B25" s="216"/>
      <c r="C25" s="217">
        <f>C22</f>
        <v>0.26729999999999998</v>
      </c>
    </row>
    <row r="26" spans="1:3" ht="13.5" thickTop="1" x14ac:dyDescent="0.2">
      <c r="A26" s="190"/>
      <c r="C26" s="204"/>
    </row>
    <row r="27" spans="1:3" x14ac:dyDescent="0.2">
      <c r="A27" s="190"/>
      <c r="C27" s="204"/>
    </row>
    <row r="28" spans="1:3" x14ac:dyDescent="0.2">
      <c r="A28" s="835" t="s">
        <v>137</v>
      </c>
      <c r="B28" s="836"/>
      <c r="C28" s="837"/>
    </row>
    <row r="29" spans="1:3" x14ac:dyDescent="0.2">
      <c r="A29" s="218" t="s">
        <v>477</v>
      </c>
      <c r="B29" s="219" t="s">
        <v>140</v>
      </c>
      <c r="C29" s="220"/>
    </row>
    <row r="30" spans="1:3" x14ac:dyDescent="0.2">
      <c r="A30" s="218" t="s">
        <v>138</v>
      </c>
      <c r="B30" s="219" t="s">
        <v>141</v>
      </c>
      <c r="C30" s="220"/>
    </row>
    <row r="31" spans="1:3" ht="21.75" customHeight="1" x14ac:dyDescent="0.2">
      <c r="A31" s="218" t="s">
        <v>139</v>
      </c>
      <c r="B31" s="838" t="s">
        <v>142</v>
      </c>
      <c r="C31" s="839"/>
    </row>
    <row r="32" spans="1:3" ht="23.25" customHeight="1" x14ac:dyDescent="0.2">
      <c r="A32" s="221"/>
      <c r="B32" s="840" t="s">
        <v>143</v>
      </c>
      <c r="C32" s="841"/>
    </row>
    <row r="33" spans="1:3" x14ac:dyDescent="0.2">
      <c r="A33" s="222"/>
      <c r="C33" s="223"/>
    </row>
    <row r="34" spans="1:3" ht="12.75" customHeight="1" x14ac:dyDescent="0.2">
      <c r="A34" s="224" t="s">
        <v>144</v>
      </c>
      <c r="B34" s="225" t="s">
        <v>145</v>
      </c>
      <c r="C34" s="226"/>
    </row>
    <row r="35" spans="1:3" ht="15.75" thickBot="1" x14ac:dyDescent="0.3">
      <c r="A35" s="227" t="s">
        <v>3796</v>
      </c>
      <c r="B35" s="228" t="s">
        <v>146</v>
      </c>
      <c r="C35" s="229"/>
    </row>
    <row r="36" spans="1:3" ht="15" x14ac:dyDescent="0.25">
      <c r="A36" s="230"/>
      <c r="B36" s="231"/>
      <c r="C36" s="232"/>
    </row>
  </sheetData>
  <mergeCells count="9">
    <mergeCell ref="A28:C28"/>
    <mergeCell ref="B31:C31"/>
    <mergeCell ref="B32:C32"/>
    <mergeCell ref="A1:C1"/>
    <mergeCell ref="A2:B2"/>
    <mergeCell ref="B6:B7"/>
    <mergeCell ref="A10:B10"/>
    <mergeCell ref="A14:B14"/>
    <mergeCell ref="A15:B15"/>
  </mergeCells>
  <printOptions horizontalCentered="1" verticalCentered="1"/>
  <pageMargins left="0.39370078740157483" right="0.39370078740157483" top="1.0625" bottom="0.78740157480314965" header="0.31496062992125984" footer="0.31496062992125984"/>
  <pageSetup scale="120" orientation="portrait" r:id="rId1"/>
  <headerFooter>
    <oddHeader>&amp;L&amp;G&amp;C&amp;"-,Negrito"&amp;8GOVERNO DO ESTADO DE MATO GROSSO&amp;"-,Regular"
SECRETARIA DE ESTADO DE EDUCAÇÃO
SECRETARIA ADJUNTA DE ESTRUTURA ESCOLAR&amp;R&amp;G</oddHeader>
    <oddFooter>&amp;L&amp;7Secretaria de Estado de Educação, Esporte e Lazer de Mato Grosso
Rua Engenheiro Edgar Prado Arze, 215 - Centro Político Administrativo
CEP: 78049-909 | Cuiabá-MT
Fone: (65) 3613-6300&amp;C&amp;8&amp;N&amp;R&amp;8COMPOSIÇÃO DE PARCELA DE BDI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Y29"/>
  <sheetViews>
    <sheetView showGridLines="0" showWhiteSpace="0" view="pageBreakPreview" zoomScale="90" zoomScaleNormal="55" zoomScaleSheetLayoutView="90" zoomScalePageLayoutView="60" workbookViewId="0">
      <selection activeCell="Y17" sqref="Y17:Y18"/>
    </sheetView>
  </sheetViews>
  <sheetFormatPr defaultRowHeight="12.75" x14ac:dyDescent="0.25"/>
  <cols>
    <col min="1" max="1" width="10.7109375" style="3" customWidth="1"/>
    <col min="2" max="2" width="52.85546875" style="4" customWidth="1"/>
    <col min="3" max="3" width="18.28515625" style="3" bestFit="1" customWidth="1"/>
    <col min="4" max="4" width="11.42578125" style="5" bestFit="1" customWidth="1"/>
    <col min="5" max="5" width="16" style="4" bestFit="1" customWidth="1"/>
    <col min="6" max="6" width="11.42578125" style="4" bestFit="1" customWidth="1"/>
    <col min="7" max="7" width="15.85546875" style="4" bestFit="1" customWidth="1"/>
    <col min="8" max="8" width="10.7109375" style="4" bestFit="1" customWidth="1"/>
    <col min="9" max="9" width="16.42578125" style="4" bestFit="1" customWidth="1"/>
    <col min="10" max="10" width="10.5703125" style="4" bestFit="1" customWidth="1"/>
    <col min="11" max="11" width="16.42578125" style="4" bestFit="1" customWidth="1"/>
    <col min="12" max="12" width="11.42578125" style="4" bestFit="1" customWidth="1"/>
    <col min="13" max="13" width="17.140625" style="4" bestFit="1" customWidth="1"/>
    <col min="14" max="14" width="11.7109375" style="4" bestFit="1" customWidth="1"/>
    <col min="15" max="15" width="15.42578125" style="4" bestFit="1" customWidth="1"/>
    <col min="16" max="16" width="10.5703125" style="4" bestFit="1" customWidth="1"/>
    <col min="17" max="17" width="16.42578125" style="4" bestFit="1" customWidth="1"/>
    <col min="18" max="18" width="10.7109375" style="4" bestFit="1" customWidth="1"/>
    <col min="19" max="19" width="17" style="4" bestFit="1" customWidth="1"/>
    <col min="20" max="20" width="13.140625" style="4" bestFit="1" customWidth="1"/>
    <col min="21" max="21" width="17" style="4" bestFit="1" customWidth="1"/>
    <col min="22" max="22" width="11" style="4" bestFit="1" customWidth="1"/>
    <col min="23" max="23" width="16" style="4" bestFit="1" customWidth="1"/>
    <col min="24" max="24" width="10.140625" style="4" bestFit="1" customWidth="1"/>
    <col min="25" max="25" width="14.140625" style="4" bestFit="1" customWidth="1"/>
    <col min="26" max="16384" width="9.140625" style="4"/>
  </cols>
  <sheetData>
    <row r="1" spans="1:25" ht="74.25" customHeight="1" x14ac:dyDescent="0.25">
      <c r="A1" s="39" t="s">
        <v>2</v>
      </c>
      <c r="B1" s="743" t="str">
        <f>'PLANILHA ORÇAMENTARIA'!B1:H1</f>
        <v xml:space="preserve">Construção de Escola Padrão SEDUC/MT, constituída de:  16 salas de aula, sala de articulação, biblioteca e laboratórios de física, informática e química; Espaços Administrativos – diretoria, secretaria, coordenadoria, sala de professores, arquivo, copa, e sanitários; Refeitório  –  Cozinha com área de higienização, cocção, depósito de alimentos, depósito de utensílios, sanitários e serviços; Quadra Poliesportiva com vestiários feminino e masculino incluindo PCD F/M; instalações elétricas de baixa tensão, posto de transformação, SPDA , instalações hidrossanitárias e instalações combate a incêndio e pânico,  observando as normas vigentes de acessibilidade e segurança, na EE SÃO SIMÃO – Localizada no município de Várzea Grande/MT. </v>
      </c>
      <c r="C1" s="743"/>
      <c r="D1" s="743"/>
      <c r="E1" s="743"/>
      <c r="F1" s="743"/>
      <c r="G1" s="743"/>
      <c r="H1" s="743"/>
      <c r="I1" s="743"/>
      <c r="J1" s="743"/>
      <c r="K1" s="743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5" ht="25.5" x14ac:dyDescent="0.25">
      <c r="A2" s="1" t="s">
        <v>44</v>
      </c>
      <c r="B2" s="8" t="str">
        <f>'PLANILHA ORÇAMENTARIA'!B3</f>
        <v>Várzea Grande/MT</v>
      </c>
      <c r="D2" s="10"/>
      <c r="Q2" s="88" t="s">
        <v>33</v>
      </c>
      <c r="R2" s="38">
        <f>'PLANILHA ORÇAMENTARIA'!E3</f>
        <v>0.26729999999999998</v>
      </c>
      <c r="T2" s="26" t="s">
        <v>47</v>
      </c>
      <c r="U2" s="27" t="str">
        <f>'PLANILHA ORÇAMENTARIA'!H3</f>
        <v>07/2017 SINAPI
07/2017 SEDUC</v>
      </c>
    </row>
    <row r="3" spans="1:25" x14ac:dyDescent="0.25">
      <c r="A3" s="1" t="s">
        <v>45</v>
      </c>
      <c r="B3" s="8" t="str">
        <f>'PLANILHA ORÇAMENTARIA'!B4</f>
        <v>Rua  Dep. Oscar Soares, Quadra 68,  S/ nº, Loteamento São Simão - Varzea Grande/ MT</v>
      </c>
      <c r="C3" s="9"/>
      <c r="D3" s="10"/>
      <c r="Q3" s="87" t="s">
        <v>147</v>
      </c>
      <c r="R3" s="85" t="s">
        <v>170</v>
      </c>
    </row>
    <row r="4" spans="1:25" ht="13.5" thickBot="1" x14ac:dyDescent="0.3">
      <c r="A4" s="11"/>
      <c r="B4" s="12"/>
      <c r="C4" s="13"/>
      <c r="D4" s="14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</row>
    <row r="5" spans="1:25" ht="13.5" thickTop="1" x14ac:dyDescent="0.25">
      <c r="A5" s="852" t="s">
        <v>169</v>
      </c>
      <c r="B5" s="852"/>
      <c r="C5" s="852"/>
      <c r="D5" s="852"/>
      <c r="E5" s="852"/>
      <c r="F5" s="852"/>
      <c r="G5" s="852"/>
      <c r="H5" s="852"/>
      <c r="I5" s="852"/>
      <c r="J5" s="852"/>
      <c r="K5" s="852"/>
      <c r="L5" s="852"/>
      <c r="M5" s="852"/>
      <c r="N5" s="852"/>
      <c r="O5" s="852"/>
      <c r="P5" s="852"/>
      <c r="Q5" s="852"/>
      <c r="R5" s="852"/>
      <c r="S5" s="852"/>
      <c r="T5" s="852"/>
      <c r="U5" s="852"/>
      <c r="V5" s="852"/>
      <c r="W5" s="852"/>
      <c r="X5" s="852"/>
    </row>
    <row r="6" spans="1:25" s="3" customFormat="1" ht="12.75" customHeight="1" x14ac:dyDescent="0.25">
      <c r="A6" s="854" t="s">
        <v>0</v>
      </c>
      <c r="B6" s="854" t="s">
        <v>1</v>
      </c>
      <c r="C6" s="854" t="s">
        <v>37</v>
      </c>
      <c r="D6" s="856" t="s">
        <v>3</v>
      </c>
      <c r="E6" s="851" t="s">
        <v>38</v>
      </c>
      <c r="F6" s="853"/>
      <c r="G6" s="851" t="s">
        <v>40</v>
      </c>
      <c r="H6" s="853"/>
      <c r="I6" s="851" t="s">
        <v>41</v>
      </c>
      <c r="J6" s="853"/>
      <c r="K6" s="851" t="s">
        <v>42</v>
      </c>
      <c r="L6" s="853"/>
      <c r="M6" s="851" t="s">
        <v>115</v>
      </c>
      <c r="N6" s="853"/>
      <c r="O6" s="851" t="s">
        <v>116</v>
      </c>
      <c r="P6" s="853"/>
      <c r="Q6" s="851" t="s">
        <v>164</v>
      </c>
      <c r="R6" s="853"/>
      <c r="S6" s="851" t="s">
        <v>165</v>
      </c>
      <c r="T6" s="853"/>
      <c r="U6" s="851" t="s">
        <v>166</v>
      </c>
      <c r="V6" s="853"/>
      <c r="W6" s="851" t="s">
        <v>167</v>
      </c>
      <c r="X6" s="746"/>
    </row>
    <row r="7" spans="1:25" s="3" customFormat="1" x14ac:dyDescent="0.25">
      <c r="A7" s="855"/>
      <c r="B7" s="855"/>
      <c r="C7" s="855"/>
      <c r="D7" s="857"/>
      <c r="E7" s="19" t="s">
        <v>39</v>
      </c>
      <c r="F7" s="20" t="s">
        <v>3</v>
      </c>
      <c r="G7" s="19" t="s">
        <v>39</v>
      </c>
      <c r="H7" s="20" t="s">
        <v>3</v>
      </c>
      <c r="I7" s="19" t="s">
        <v>39</v>
      </c>
      <c r="J7" s="20" t="s">
        <v>3</v>
      </c>
      <c r="K7" s="19" t="s">
        <v>39</v>
      </c>
      <c r="L7" s="20" t="s">
        <v>3</v>
      </c>
      <c r="M7" s="19" t="s">
        <v>39</v>
      </c>
      <c r="N7" s="20" t="s">
        <v>3</v>
      </c>
      <c r="O7" s="19" t="s">
        <v>39</v>
      </c>
      <c r="P7" s="20" t="s">
        <v>3</v>
      </c>
      <c r="Q7" s="19" t="s">
        <v>39</v>
      </c>
      <c r="R7" s="20" t="s">
        <v>3</v>
      </c>
      <c r="S7" s="19" t="s">
        <v>39</v>
      </c>
      <c r="T7" s="20" t="s">
        <v>3</v>
      </c>
      <c r="U7" s="19" t="s">
        <v>39</v>
      </c>
      <c r="V7" s="20" t="s">
        <v>3</v>
      </c>
      <c r="W7" s="19" t="s">
        <v>39</v>
      </c>
      <c r="X7" s="96" t="s">
        <v>3</v>
      </c>
    </row>
    <row r="8" spans="1:25" s="3" customFormat="1" x14ac:dyDescent="0.25">
      <c r="A8" s="3" t="str">
        <f>RESUMO!A12</f>
        <v>1.0</v>
      </c>
      <c r="B8" s="4" t="str">
        <f>RESUMO!B12</f>
        <v>ADMINISTRAÇÃO DE OBRA</v>
      </c>
      <c r="C8" s="15">
        <f>RESUMO!D12</f>
        <v>351352.46</v>
      </c>
      <c r="D8" s="16">
        <f t="shared" ref="D8:D16" si="0">C8/$C$17</f>
        <v>4.1133908717467728E-2</v>
      </c>
      <c r="E8" s="17">
        <f>$C$8*10%</f>
        <v>35135.246000000006</v>
      </c>
      <c r="F8" s="18">
        <f>E8/$C$8</f>
        <v>0.1</v>
      </c>
      <c r="G8" s="17">
        <f>$C$8*10%</f>
        <v>35135.246000000006</v>
      </c>
      <c r="H8" s="18">
        <f>G8/$C$8</f>
        <v>0.1</v>
      </c>
      <c r="I8" s="17">
        <f>$C$8*10%</f>
        <v>35135.246000000006</v>
      </c>
      <c r="J8" s="18">
        <f>I8/$C$8</f>
        <v>0.1</v>
      </c>
      <c r="K8" s="17">
        <f>$C$8*10%</f>
        <v>35135.246000000006</v>
      </c>
      <c r="L8" s="18">
        <f>K8/$C$8</f>
        <v>0.1</v>
      </c>
      <c r="M8" s="17">
        <f>$C$8*10%</f>
        <v>35135.246000000006</v>
      </c>
      <c r="N8" s="18">
        <f>M8/$C$8</f>
        <v>0.1</v>
      </c>
      <c r="O8" s="17">
        <f>$C$8*10%</f>
        <v>35135.246000000006</v>
      </c>
      <c r="P8" s="18">
        <f>O8/$C$8</f>
        <v>0.1</v>
      </c>
      <c r="Q8" s="17">
        <f>$C$8*10%</f>
        <v>35135.246000000006</v>
      </c>
      <c r="R8" s="18">
        <f>Q8/$C$8</f>
        <v>0.1</v>
      </c>
      <c r="S8" s="17">
        <f>$C$8*10%</f>
        <v>35135.246000000006</v>
      </c>
      <c r="T8" s="18">
        <f>S8/$C$8</f>
        <v>0.1</v>
      </c>
      <c r="U8" s="17">
        <f>$C$8*10%</f>
        <v>35135.246000000006</v>
      </c>
      <c r="V8" s="18">
        <f>U8/$C$8</f>
        <v>0.1</v>
      </c>
      <c r="W8" s="17">
        <f>$C$8*10%</f>
        <v>35135.246000000006</v>
      </c>
      <c r="X8" s="18">
        <f>W8/$C$8</f>
        <v>0.1</v>
      </c>
      <c r="Y8" s="15"/>
    </row>
    <row r="9" spans="1:25" s="3" customFormat="1" x14ac:dyDescent="0.25">
      <c r="A9" s="3" t="str">
        <f>RESUMO!A13</f>
        <v>2.0</v>
      </c>
      <c r="B9" s="4" t="str">
        <f>RESUMO!B13</f>
        <v>SERVIÇOS  TÉCNICOS</v>
      </c>
      <c r="C9" s="15">
        <f>RESUMO!D13</f>
        <v>5885.89</v>
      </c>
      <c r="D9" s="16">
        <f t="shared" si="0"/>
        <v>6.8907917132857448E-4</v>
      </c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17">
        <f>C9/1</f>
        <v>5885.89</v>
      </c>
      <c r="X9" s="18">
        <f>W9/$C$9</f>
        <v>1</v>
      </c>
      <c r="Y9" s="15"/>
    </row>
    <row r="10" spans="1:25" s="3" customFormat="1" x14ac:dyDescent="0.25">
      <c r="A10" s="3" t="str">
        <f>'PLANILHA ORÇAMENTARIA'!A15</f>
        <v>3.0</v>
      </c>
      <c r="B10" s="4" t="str">
        <f>RESUMO!B14</f>
        <v>SERVIÇOS PRELIMINARES</v>
      </c>
      <c r="C10" s="15">
        <f>'PLANILHA ORÇAMENTARIA'!H28</f>
        <v>137175.59999999998</v>
      </c>
      <c r="D10" s="16">
        <f t="shared" si="0"/>
        <v>1.6059567673622849E-2</v>
      </c>
      <c r="E10" s="17">
        <f>$C$10*0.5</f>
        <v>68587.799999999988</v>
      </c>
      <c r="F10" s="18">
        <f>E10/$C$10</f>
        <v>0.5</v>
      </c>
      <c r="G10" s="17">
        <f>$C$10*0.3</f>
        <v>41152.679999999993</v>
      </c>
      <c r="H10" s="18">
        <f>G10/$C$10</f>
        <v>0.3</v>
      </c>
      <c r="I10" s="17">
        <f>$C$10*0.2</f>
        <v>27435.119999999995</v>
      </c>
      <c r="J10" s="18">
        <f>I10/$C$10</f>
        <v>0.2</v>
      </c>
      <c r="K10" s="98"/>
      <c r="L10" s="79"/>
      <c r="M10" s="98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15"/>
    </row>
    <row r="11" spans="1:25" x14ac:dyDescent="0.25">
      <c r="A11" s="3" t="str">
        <f>RESUMO!A15</f>
        <v>4.0</v>
      </c>
      <c r="B11" s="4" t="str">
        <f>RESUMO!B15</f>
        <v>ARQUITETÔNICO</v>
      </c>
      <c r="C11" s="15">
        <f>RESUMO!D15</f>
        <v>3764310.37</v>
      </c>
      <c r="D11" s="16">
        <f t="shared" si="0"/>
        <v>0.4406993454487188</v>
      </c>
      <c r="G11" s="17">
        <f>$C$11*0.1</f>
        <v>376431.03700000001</v>
      </c>
      <c r="H11" s="18">
        <f>G11/$C$11</f>
        <v>0.1</v>
      </c>
      <c r="I11" s="17">
        <f>$C$11*0.1</f>
        <v>376431.03700000001</v>
      </c>
      <c r="J11" s="18">
        <f>I11/$C$11</f>
        <v>0.1</v>
      </c>
      <c r="K11" s="17">
        <f>$C$11*0.2</f>
        <v>752862.07400000002</v>
      </c>
      <c r="L11" s="18">
        <f>K11/$C$11</f>
        <v>0.2</v>
      </c>
      <c r="M11" s="17">
        <f>$C$11*0.2</f>
        <v>752862.07400000002</v>
      </c>
      <c r="N11" s="18">
        <f>M11/$C$11</f>
        <v>0.2</v>
      </c>
      <c r="O11" s="17">
        <f>$C$11*0.15</f>
        <v>564646.55550000002</v>
      </c>
      <c r="P11" s="18">
        <f>O11/$C$11</f>
        <v>0.15</v>
      </c>
      <c r="Q11" s="17">
        <f>$C$11*0.1</f>
        <v>376431.03700000001</v>
      </c>
      <c r="R11" s="18">
        <f>Q11/$C$11</f>
        <v>0.1</v>
      </c>
      <c r="S11" s="17">
        <f>$C$11*0.08</f>
        <v>301144.8296</v>
      </c>
      <c r="T11" s="18">
        <f>S11/$C$11</f>
        <v>0.08</v>
      </c>
      <c r="U11" s="17">
        <f>$C$11*0.04</f>
        <v>150572.4148</v>
      </c>
      <c r="V11" s="18">
        <f>U11/$C$11</f>
        <v>0.04</v>
      </c>
      <c r="W11" s="17">
        <f>$C$11*0.03</f>
        <v>112929.31110000001</v>
      </c>
      <c r="X11" s="18">
        <f>W11/$C$11</f>
        <v>3.0000000000000002E-2</v>
      </c>
      <c r="Y11" s="15"/>
    </row>
    <row r="12" spans="1:25" x14ac:dyDescent="0.25">
      <c r="A12" s="3" t="str">
        <f>RESUMO!A16</f>
        <v>5.0</v>
      </c>
      <c r="B12" s="4" t="str">
        <f>RESUMO!B16</f>
        <v>ESTRUTURAL BLOCOS ESCOLA</v>
      </c>
      <c r="C12" s="15">
        <f>RESUMO!D16</f>
        <v>3337416.4</v>
      </c>
      <c r="D12" s="16">
        <f t="shared" si="0"/>
        <v>0.39072156076487907</v>
      </c>
      <c r="E12" s="17">
        <f>$C$12*5%</f>
        <v>166870.82</v>
      </c>
      <c r="F12" s="18">
        <f>E12/$C$12</f>
        <v>0.05</v>
      </c>
      <c r="G12" s="17">
        <f>$C$12*10%</f>
        <v>333741.64</v>
      </c>
      <c r="H12" s="18">
        <f>G12/$C$12</f>
        <v>0.1</v>
      </c>
      <c r="I12" s="17">
        <f>$C$12*15%</f>
        <v>500612.45999999996</v>
      </c>
      <c r="J12" s="18">
        <f>I12/$C$12</f>
        <v>0.15</v>
      </c>
      <c r="K12" s="17">
        <f>$C$12*20%</f>
        <v>667483.28</v>
      </c>
      <c r="L12" s="18">
        <f>K12/$C$12</f>
        <v>0.2</v>
      </c>
      <c r="M12" s="17">
        <f>$C$12*15%</f>
        <v>500612.45999999996</v>
      </c>
      <c r="N12" s="18">
        <f>M12/$C$12</f>
        <v>0.15</v>
      </c>
      <c r="O12" s="17">
        <f>$C$12*15%</f>
        <v>500612.45999999996</v>
      </c>
      <c r="P12" s="18">
        <f>O12/$C$12</f>
        <v>0.15</v>
      </c>
      <c r="Q12" s="17">
        <f>$C$12*8%</f>
        <v>266993.31199999998</v>
      </c>
      <c r="R12" s="18">
        <f>Q12/$C$12</f>
        <v>0.08</v>
      </c>
      <c r="S12" s="17">
        <f>$C$12*7%</f>
        <v>233619.14800000002</v>
      </c>
      <c r="T12" s="18">
        <f>S12/$C$12</f>
        <v>7.0000000000000007E-2</v>
      </c>
      <c r="U12" s="17">
        <f>$C$12*5%</f>
        <v>166870.82</v>
      </c>
      <c r="V12" s="18">
        <f>U12/$C$12</f>
        <v>0.05</v>
      </c>
      <c r="W12" s="98"/>
      <c r="X12" s="233"/>
      <c r="Y12" s="15"/>
    </row>
    <row r="13" spans="1:25" x14ac:dyDescent="0.25">
      <c r="A13" s="3" t="str">
        <f>RESUMO!A17</f>
        <v>6.0</v>
      </c>
      <c r="B13" s="4" t="str">
        <f>RESUMO!B17</f>
        <v>INSTALAÇÕES HIDROSSANITÁRIAS</v>
      </c>
      <c r="C13" s="15">
        <f>RESUMO!D17</f>
        <v>318589.51</v>
      </c>
      <c r="D13" s="16">
        <f t="shared" si="0"/>
        <v>3.729824980500427E-2</v>
      </c>
      <c r="I13" s="17">
        <f>$C$13*15%</f>
        <v>47788.426500000001</v>
      </c>
      <c r="J13" s="18">
        <f>I13/$C$13</f>
        <v>0.15</v>
      </c>
      <c r="K13" s="17">
        <f>$C$13*10%</f>
        <v>31858.951000000001</v>
      </c>
      <c r="L13" s="18">
        <f>K13/$C$13</f>
        <v>0.1</v>
      </c>
      <c r="M13" s="17">
        <f>$C$13*20%</f>
        <v>63717.902000000002</v>
      </c>
      <c r="N13" s="18">
        <f>M13/$C$13</f>
        <v>0.2</v>
      </c>
      <c r="O13" s="17">
        <f>$C$13*15%</f>
        <v>47788.426500000001</v>
      </c>
      <c r="P13" s="18">
        <f>O13/$C$13</f>
        <v>0.15</v>
      </c>
      <c r="Q13" s="17">
        <f>$C$13*15%</f>
        <v>47788.426500000001</v>
      </c>
      <c r="R13" s="18">
        <f>Q13/$C$13</f>
        <v>0.15</v>
      </c>
      <c r="S13" s="17">
        <f>$C$13*10%</f>
        <v>31858.951000000001</v>
      </c>
      <c r="T13" s="18">
        <f>S13/$C$13</f>
        <v>0.1</v>
      </c>
      <c r="U13" s="17">
        <f>$C$13*8%</f>
        <v>25487.160800000001</v>
      </c>
      <c r="V13" s="18">
        <f>U13/$C$13</f>
        <v>0.08</v>
      </c>
      <c r="W13" s="17">
        <f>$C$13*7%</f>
        <v>22301.265700000004</v>
      </c>
      <c r="X13" s="18">
        <f>W13/$C$13</f>
        <v>7.0000000000000007E-2</v>
      </c>
      <c r="Y13" s="15"/>
    </row>
    <row r="14" spans="1:25" x14ac:dyDescent="0.25">
      <c r="A14" s="3" t="str">
        <f>RESUMO!A18</f>
        <v>7.0</v>
      </c>
      <c r="B14" s="4" t="str">
        <f>RESUMO!B18</f>
        <v>INSTALAÇÃO ELÉTRICA</v>
      </c>
      <c r="C14" s="15">
        <f>RESUMO!D18</f>
        <v>428812.51999999996</v>
      </c>
      <c r="D14" s="16">
        <f t="shared" si="0"/>
        <v>5.0202395209036819E-2</v>
      </c>
      <c r="E14" s="80"/>
      <c r="F14" s="81"/>
      <c r="I14" s="98"/>
      <c r="J14" s="233"/>
      <c r="K14" s="17">
        <f>$C$14*15%</f>
        <v>64321.87799999999</v>
      </c>
      <c r="L14" s="18">
        <f>K14/$C$14</f>
        <v>0.15</v>
      </c>
      <c r="M14" s="17">
        <f>$C$14*10%</f>
        <v>42881.252</v>
      </c>
      <c r="N14" s="18">
        <f>M14/$C$14</f>
        <v>0.1</v>
      </c>
      <c r="O14" s="17">
        <f>$C$14*15%</f>
        <v>64321.87799999999</v>
      </c>
      <c r="P14" s="18">
        <f>O14/$C$14</f>
        <v>0.15</v>
      </c>
      <c r="Q14" s="17">
        <f>$C$14*20%</f>
        <v>85762.504000000001</v>
      </c>
      <c r="R14" s="18">
        <f>Q14/$C$14</f>
        <v>0.2</v>
      </c>
      <c r="S14" s="17">
        <f>$C$14*20%</f>
        <v>85762.504000000001</v>
      </c>
      <c r="T14" s="18">
        <f>S14/$C$14</f>
        <v>0.2</v>
      </c>
      <c r="U14" s="17">
        <f>$C$14*10%</f>
        <v>42881.252</v>
      </c>
      <c r="V14" s="18">
        <f>U14/$C$14</f>
        <v>0.1</v>
      </c>
      <c r="W14" s="17">
        <f>$C$14*10%</f>
        <v>42881.252</v>
      </c>
      <c r="X14" s="18">
        <f>W14/$C$14</f>
        <v>0.1</v>
      </c>
      <c r="Y14" s="15"/>
    </row>
    <row r="15" spans="1:25" x14ac:dyDescent="0.25">
      <c r="A15" s="3" t="str">
        <f>RESUMO!A19</f>
        <v>8.0</v>
      </c>
      <c r="B15" s="4" t="str">
        <f>RESUMO!B19</f>
        <v>SISTEMAS DE PROTEÇÃO CONTRA DESCARGAS ATMOSFÉRICAS</v>
      </c>
      <c r="C15" s="15">
        <f>RESUMO!D19</f>
        <v>96862.130000000019</v>
      </c>
      <c r="D15" s="16">
        <f t="shared" si="0"/>
        <v>1.133994625681429E-2</v>
      </c>
      <c r="E15" s="80"/>
      <c r="F15" s="81"/>
      <c r="G15" s="80"/>
      <c r="H15" s="81"/>
      <c r="K15" s="80"/>
      <c r="L15" s="81"/>
      <c r="O15" s="98"/>
      <c r="P15" s="233"/>
      <c r="Q15" s="17">
        <f>$C$15*50%</f>
        <v>48431.06500000001</v>
      </c>
      <c r="R15" s="18">
        <f>Q15/$C$15</f>
        <v>0.5</v>
      </c>
      <c r="S15" s="17">
        <f>$C$15*50%</f>
        <v>48431.06500000001</v>
      </c>
      <c r="T15" s="18">
        <f>S15/$C$15</f>
        <v>0.5</v>
      </c>
      <c r="Y15" s="15"/>
    </row>
    <row r="16" spans="1:25" ht="25.5" x14ac:dyDescent="0.25">
      <c r="A16" s="3" t="str">
        <f>RESUMO!A20</f>
        <v>9.0</v>
      </c>
      <c r="B16" s="4" t="str">
        <f>RESUMO!B20</f>
        <v>INSTALAÇÕES DE SEGURANÇA E PREVENÇÃO A COMBATE A INCÊNDIO E PÂNICO</v>
      </c>
      <c r="C16" s="15">
        <f>RESUMO!D20</f>
        <v>101269.63999999998</v>
      </c>
      <c r="D16" s="16">
        <f t="shared" si="0"/>
        <v>1.1855946953127403E-2</v>
      </c>
      <c r="E16" s="80"/>
      <c r="F16" s="81"/>
      <c r="G16" s="80"/>
      <c r="H16" s="81"/>
      <c r="I16" s="80"/>
      <c r="J16" s="81"/>
      <c r="K16" s="80"/>
      <c r="L16" s="81"/>
      <c r="O16" s="17">
        <f>$C$16*20%</f>
        <v>20253.928</v>
      </c>
      <c r="P16" s="18">
        <f>O16/$C$16</f>
        <v>0.20000000000000004</v>
      </c>
      <c r="Q16" s="17">
        <f>$C$16*30%</f>
        <v>30380.891999999993</v>
      </c>
      <c r="R16" s="18">
        <f>Q16/$C$16</f>
        <v>0.3</v>
      </c>
      <c r="S16" s="17">
        <f>$C$16*30%</f>
        <v>30380.891999999993</v>
      </c>
      <c r="T16" s="18">
        <f>S16/$C$16</f>
        <v>0.3</v>
      </c>
      <c r="U16" s="17">
        <f>$C$16*20%</f>
        <v>20253.928</v>
      </c>
      <c r="V16" s="18">
        <f>U16/$C$16</f>
        <v>0.20000000000000004</v>
      </c>
      <c r="Y16" s="15"/>
    </row>
    <row r="17" spans="1:25" x14ac:dyDescent="0.25">
      <c r="A17" s="7"/>
      <c r="B17" s="6" t="s">
        <v>43</v>
      </c>
      <c r="C17" s="21">
        <f>SUM(C8:C16)</f>
        <v>8541674.5200000014</v>
      </c>
      <c r="D17" s="22">
        <f>SUM(D8:D16)</f>
        <v>0.99999999999999989</v>
      </c>
      <c r="E17" s="21">
        <f>SUM(E8:E16)</f>
        <v>270593.86600000004</v>
      </c>
      <c r="F17" s="23">
        <f>E17/$C$17</f>
        <v>3.167925274680216E-2</v>
      </c>
      <c r="G17" s="21">
        <f>SUM(G8:G16)</f>
        <v>786460.603</v>
      </c>
      <c r="H17" s="23">
        <f>G17/$C$17</f>
        <v>9.2073351795193423E-2</v>
      </c>
      <c r="I17" s="21">
        <f>SUM(I8:I16)</f>
        <v>987402.28949999996</v>
      </c>
      <c r="J17" s="23">
        <f>I17/$C$17</f>
        <v>0.11559821053682572</v>
      </c>
      <c r="K17" s="21">
        <f>SUM(K8:K16)</f>
        <v>1551661.429</v>
      </c>
      <c r="L17" s="23">
        <f>K17/$C$17</f>
        <v>0.18165775637632231</v>
      </c>
      <c r="M17" s="21">
        <f>SUM(M8:M16)</f>
        <v>1395208.9340000001</v>
      </c>
      <c r="N17" s="23">
        <f>M17/$C$17</f>
        <v>0.16334138355812694</v>
      </c>
      <c r="O17" s="21">
        <f>SUM(O8:O16)</f>
        <v>1232758.4940000002</v>
      </c>
      <c r="P17" s="23">
        <f>O17/$C$17</f>
        <v>0.14432281294651814</v>
      </c>
      <c r="Q17" s="21">
        <f>SUM(Q8:Q16)</f>
        <v>890922.48250000004</v>
      </c>
      <c r="R17" s="23">
        <f>Q17/$C$17</f>
        <v>0.10430302400471235</v>
      </c>
      <c r="S17" s="21">
        <f>SUM(S8:S16)</f>
        <v>766332.63560000004</v>
      </c>
      <c r="T17" s="23">
        <f>S17/$C$17</f>
        <v>8.9716908997838976E-2</v>
      </c>
      <c r="U17" s="21">
        <f>SUM(U8:U16)</f>
        <v>441200.82160000002</v>
      </c>
      <c r="V17" s="23">
        <f>U17/$C$17</f>
        <v>5.1652731623868985E-2</v>
      </c>
      <c r="W17" s="21">
        <f>SUM(W8:W16)</f>
        <v>219132.96480000005</v>
      </c>
      <c r="X17" s="23">
        <f>W17/$C$17</f>
        <v>2.5654567413790897E-2</v>
      </c>
      <c r="Y17" s="97"/>
    </row>
    <row r="18" spans="1:25" x14ac:dyDescent="0.25">
      <c r="Y18" s="118"/>
    </row>
    <row r="19" spans="1:25" x14ac:dyDescent="0.25">
      <c r="C19" s="15"/>
      <c r="E19" s="436"/>
      <c r="F19" s="242"/>
      <c r="G19" s="436"/>
      <c r="H19" s="242"/>
      <c r="I19" s="436"/>
      <c r="J19" s="242"/>
      <c r="K19" s="436"/>
      <c r="L19" s="242"/>
      <c r="M19" s="436"/>
      <c r="N19" s="242"/>
      <c r="O19" s="436"/>
      <c r="P19" s="242"/>
      <c r="Q19" s="436"/>
      <c r="R19" s="242"/>
      <c r="S19" s="436"/>
      <c r="T19" s="242"/>
      <c r="U19" s="436"/>
      <c r="V19" s="242"/>
      <c r="W19" s="436"/>
      <c r="X19" s="242"/>
    </row>
    <row r="20" spans="1:25" x14ac:dyDescent="0.25">
      <c r="A20" s="4"/>
      <c r="B20" s="8"/>
      <c r="C20" s="4"/>
      <c r="D20" s="4"/>
      <c r="F20" s="118"/>
    </row>
    <row r="21" spans="1:25" x14ac:dyDescent="0.25">
      <c r="C21" s="15"/>
      <c r="E21" s="97"/>
      <c r="F21" s="241"/>
      <c r="G21" s="97"/>
      <c r="H21" s="241"/>
      <c r="I21" s="97"/>
      <c r="J21" s="241"/>
      <c r="K21" s="97"/>
      <c r="L21" s="241"/>
      <c r="M21" s="97"/>
      <c r="N21" s="241"/>
      <c r="O21" s="97"/>
      <c r="P21" s="241"/>
      <c r="Q21" s="97"/>
      <c r="R21" s="241"/>
      <c r="S21" s="97"/>
      <c r="T21" s="241"/>
      <c r="U21" s="97"/>
      <c r="V21" s="241"/>
      <c r="W21" s="97"/>
      <c r="X21" s="241"/>
    </row>
    <row r="23" spans="1:25" x14ac:dyDescent="0.25">
      <c r="F23" s="242"/>
    </row>
    <row r="24" spans="1:25" x14ac:dyDescent="0.25">
      <c r="C24" s="15"/>
    </row>
    <row r="29" spans="1:25" x14ac:dyDescent="0.25">
      <c r="C29" s="15"/>
    </row>
  </sheetData>
  <mergeCells count="16">
    <mergeCell ref="W6:X6"/>
    <mergeCell ref="A5:X5"/>
    <mergeCell ref="B1:K1"/>
    <mergeCell ref="M6:N6"/>
    <mergeCell ref="O6:P6"/>
    <mergeCell ref="A6:A7"/>
    <mergeCell ref="B6:B7"/>
    <mergeCell ref="C6:C7"/>
    <mergeCell ref="D6:D7"/>
    <mergeCell ref="E6:F6"/>
    <mergeCell ref="G6:H6"/>
    <mergeCell ref="I6:J6"/>
    <mergeCell ref="K6:L6"/>
    <mergeCell ref="Q6:R6"/>
    <mergeCell ref="S6:T6"/>
    <mergeCell ref="U6:V6"/>
  </mergeCells>
  <pageMargins left="0.51181102362204722" right="0.51181102362204722" top="0.9055118110236221" bottom="0.9055118110236221" header="0.31496062992125984" footer="0.31496062992125984"/>
  <pageSetup paperSize="9" scale="34" orientation="landscape" r:id="rId1"/>
  <headerFooter>
    <oddHeader>&amp;L&amp;G&amp;C&amp;"-,Negrito"&amp;9&amp;K00-048GOVERNO DO ESTADO DE MATO GROSSO&amp;"-,Regular"
SECRETARIA DE ESTADO DE EDUCAÇÃO
SECRETARIA ADJUNTA DE ESTRUTURA ESCOLAR&amp;R&amp;G</oddHeader>
    <oddFooter xml:space="preserve">&amp;L&amp;"-,Negrito"&amp;7&amp;K00-049Secretaria de Estado de Educação, Esporte e Lazer de Mato Grosso&amp;"-,Regular"
Rua Engenheiro Edgar Prado Arze, 215 - Centro Político Administrativo
CEP: 78049-909 | Cuiabá-MT
Fone: (65) 3613-6300&amp;C&amp;9&amp;K00-049&amp;P / &amp;N&amp;R&amp;7&amp;K00-049&amp;A
</oddFooter>
  </headerFooter>
  <colBreaks count="1" manualBreakCount="1">
    <brk id="24" max="1048575" man="1"/>
  </colBreaks>
  <ignoredErrors>
    <ignoredError sqref="G10 I10" formula="1"/>
  </ignoredError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I65606"/>
  <sheetViews>
    <sheetView showGridLines="0" view="pageBreakPreview" topLeftCell="A137" zoomScaleNormal="110" zoomScaleSheetLayoutView="100" workbookViewId="0">
      <selection activeCell="B149" sqref="B149"/>
    </sheetView>
  </sheetViews>
  <sheetFormatPr defaultRowHeight="12.75" x14ac:dyDescent="0.2"/>
  <cols>
    <col min="1" max="1" width="6" style="510" bestFit="1" customWidth="1"/>
    <col min="2" max="2" width="45.42578125" style="451" customWidth="1"/>
    <col min="3" max="3" width="55.7109375" style="451" customWidth="1"/>
    <col min="4" max="4" width="9.7109375" style="451" customWidth="1"/>
    <col min="5" max="5" width="14.5703125" style="510" customWidth="1"/>
    <col min="6" max="6" width="13.7109375" style="538" hidden="1" customWidth="1"/>
    <col min="7" max="7" width="11.5703125" style="448" customWidth="1"/>
    <col min="8" max="8" width="12.140625" style="448" customWidth="1"/>
    <col min="9" max="256" width="9.140625" style="448"/>
    <col min="257" max="257" width="5.28515625" style="448" customWidth="1"/>
    <col min="258" max="258" width="47.140625" style="448" customWidth="1"/>
    <col min="259" max="259" width="57.42578125" style="448" customWidth="1"/>
    <col min="260" max="260" width="9.7109375" style="448" customWidth="1"/>
    <col min="261" max="261" width="14.5703125" style="448" customWidth="1"/>
    <col min="262" max="262" width="9.7109375" style="448" bestFit="1" customWidth="1"/>
    <col min="263" max="263" width="18.85546875" style="448" customWidth="1"/>
    <col min="264" max="264" width="33" style="448" bestFit="1" customWidth="1"/>
    <col min="265" max="512" width="9.140625" style="448"/>
    <col min="513" max="513" width="5.28515625" style="448" customWidth="1"/>
    <col min="514" max="514" width="47.140625" style="448" customWidth="1"/>
    <col min="515" max="515" width="57.42578125" style="448" customWidth="1"/>
    <col min="516" max="516" width="9.7109375" style="448" customWidth="1"/>
    <col min="517" max="517" width="14.5703125" style="448" customWidth="1"/>
    <col min="518" max="518" width="9.7109375" style="448" bestFit="1" customWidth="1"/>
    <col min="519" max="519" width="18.85546875" style="448" customWidth="1"/>
    <col min="520" max="520" width="33" style="448" bestFit="1" customWidth="1"/>
    <col min="521" max="768" width="9.140625" style="448"/>
    <col min="769" max="769" width="5.28515625" style="448" customWidth="1"/>
    <col min="770" max="770" width="47.140625" style="448" customWidth="1"/>
    <col min="771" max="771" width="57.42578125" style="448" customWidth="1"/>
    <col min="772" max="772" width="9.7109375" style="448" customWidth="1"/>
    <col min="773" max="773" width="14.5703125" style="448" customWidth="1"/>
    <col min="774" max="774" width="9.7109375" style="448" bestFit="1" customWidth="1"/>
    <col min="775" max="775" width="18.85546875" style="448" customWidth="1"/>
    <col min="776" max="776" width="33" style="448" bestFit="1" customWidth="1"/>
    <col min="777" max="1024" width="9.140625" style="448"/>
    <col min="1025" max="1025" width="5.28515625" style="448" customWidth="1"/>
    <col min="1026" max="1026" width="47.140625" style="448" customWidth="1"/>
    <col min="1027" max="1027" width="57.42578125" style="448" customWidth="1"/>
    <col min="1028" max="1028" width="9.7109375" style="448" customWidth="1"/>
    <col min="1029" max="1029" width="14.5703125" style="448" customWidth="1"/>
    <col min="1030" max="1030" width="9.7109375" style="448" bestFit="1" customWidth="1"/>
    <col min="1031" max="1031" width="18.85546875" style="448" customWidth="1"/>
    <col min="1032" max="1032" width="33" style="448" bestFit="1" customWidth="1"/>
    <col min="1033" max="1280" width="9.140625" style="448"/>
    <col min="1281" max="1281" width="5.28515625" style="448" customWidth="1"/>
    <col min="1282" max="1282" width="47.140625" style="448" customWidth="1"/>
    <col min="1283" max="1283" width="57.42578125" style="448" customWidth="1"/>
    <col min="1284" max="1284" width="9.7109375" style="448" customWidth="1"/>
    <col min="1285" max="1285" width="14.5703125" style="448" customWidth="1"/>
    <col min="1286" max="1286" width="9.7109375" style="448" bestFit="1" customWidth="1"/>
    <col min="1287" max="1287" width="18.85546875" style="448" customWidth="1"/>
    <col min="1288" max="1288" width="33" style="448" bestFit="1" customWidth="1"/>
    <col min="1289" max="1536" width="9.140625" style="448"/>
    <col min="1537" max="1537" width="5.28515625" style="448" customWidth="1"/>
    <col min="1538" max="1538" width="47.140625" style="448" customWidth="1"/>
    <col min="1539" max="1539" width="57.42578125" style="448" customWidth="1"/>
    <col min="1540" max="1540" width="9.7109375" style="448" customWidth="1"/>
    <col min="1541" max="1541" width="14.5703125" style="448" customWidth="1"/>
    <col min="1542" max="1542" width="9.7109375" style="448" bestFit="1" customWidth="1"/>
    <col min="1543" max="1543" width="18.85546875" style="448" customWidth="1"/>
    <col min="1544" max="1544" width="33" style="448" bestFit="1" customWidth="1"/>
    <col min="1545" max="1792" width="9.140625" style="448"/>
    <col min="1793" max="1793" width="5.28515625" style="448" customWidth="1"/>
    <col min="1794" max="1794" width="47.140625" style="448" customWidth="1"/>
    <col min="1795" max="1795" width="57.42578125" style="448" customWidth="1"/>
    <col min="1796" max="1796" width="9.7109375" style="448" customWidth="1"/>
    <col min="1797" max="1797" width="14.5703125" style="448" customWidth="1"/>
    <col min="1798" max="1798" width="9.7109375" style="448" bestFit="1" customWidth="1"/>
    <col min="1799" max="1799" width="18.85546875" style="448" customWidth="1"/>
    <col min="1800" max="1800" width="33" style="448" bestFit="1" customWidth="1"/>
    <col min="1801" max="2048" width="9.140625" style="448"/>
    <col min="2049" max="2049" width="5.28515625" style="448" customWidth="1"/>
    <col min="2050" max="2050" width="47.140625" style="448" customWidth="1"/>
    <col min="2051" max="2051" width="57.42578125" style="448" customWidth="1"/>
    <col min="2052" max="2052" width="9.7109375" style="448" customWidth="1"/>
    <col min="2053" max="2053" width="14.5703125" style="448" customWidth="1"/>
    <col min="2054" max="2054" width="9.7109375" style="448" bestFit="1" customWidth="1"/>
    <col min="2055" max="2055" width="18.85546875" style="448" customWidth="1"/>
    <col min="2056" max="2056" width="33" style="448" bestFit="1" customWidth="1"/>
    <col min="2057" max="2304" width="9.140625" style="448"/>
    <col min="2305" max="2305" width="5.28515625" style="448" customWidth="1"/>
    <col min="2306" max="2306" width="47.140625" style="448" customWidth="1"/>
    <col min="2307" max="2307" width="57.42578125" style="448" customWidth="1"/>
    <col min="2308" max="2308" width="9.7109375" style="448" customWidth="1"/>
    <col min="2309" max="2309" width="14.5703125" style="448" customWidth="1"/>
    <col min="2310" max="2310" width="9.7109375" style="448" bestFit="1" customWidth="1"/>
    <col min="2311" max="2311" width="18.85546875" style="448" customWidth="1"/>
    <col min="2312" max="2312" width="33" style="448" bestFit="1" customWidth="1"/>
    <col min="2313" max="2560" width="9.140625" style="448"/>
    <col min="2561" max="2561" width="5.28515625" style="448" customWidth="1"/>
    <col min="2562" max="2562" width="47.140625" style="448" customWidth="1"/>
    <col min="2563" max="2563" width="57.42578125" style="448" customWidth="1"/>
    <col min="2564" max="2564" width="9.7109375" style="448" customWidth="1"/>
    <col min="2565" max="2565" width="14.5703125" style="448" customWidth="1"/>
    <col min="2566" max="2566" width="9.7109375" style="448" bestFit="1" customWidth="1"/>
    <col min="2567" max="2567" width="18.85546875" style="448" customWidth="1"/>
    <col min="2568" max="2568" width="33" style="448" bestFit="1" customWidth="1"/>
    <col min="2569" max="2816" width="9.140625" style="448"/>
    <col min="2817" max="2817" width="5.28515625" style="448" customWidth="1"/>
    <col min="2818" max="2818" width="47.140625" style="448" customWidth="1"/>
    <col min="2819" max="2819" width="57.42578125" style="448" customWidth="1"/>
    <col min="2820" max="2820" width="9.7109375" style="448" customWidth="1"/>
    <col min="2821" max="2821" width="14.5703125" style="448" customWidth="1"/>
    <col min="2822" max="2822" width="9.7109375" style="448" bestFit="1" customWidth="1"/>
    <col min="2823" max="2823" width="18.85546875" style="448" customWidth="1"/>
    <col min="2824" max="2824" width="33" style="448" bestFit="1" customWidth="1"/>
    <col min="2825" max="3072" width="9.140625" style="448"/>
    <col min="3073" max="3073" width="5.28515625" style="448" customWidth="1"/>
    <col min="3074" max="3074" width="47.140625" style="448" customWidth="1"/>
    <col min="3075" max="3075" width="57.42578125" style="448" customWidth="1"/>
    <col min="3076" max="3076" width="9.7109375" style="448" customWidth="1"/>
    <col min="3077" max="3077" width="14.5703125" style="448" customWidth="1"/>
    <col min="3078" max="3078" width="9.7109375" style="448" bestFit="1" customWidth="1"/>
    <col min="3079" max="3079" width="18.85546875" style="448" customWidth="1"/>
    <col min="3080" max="3080" width="33" style="448" bestFit="1" customWidth="1"/>
    <col min="3081" max="3328" width="9.140625" style="448"/>
    <col min="3329" max="3329" width="5.28515625" style="448" customWidth="1"/>
    <col min="3330" max="3330" width="47.140625" style="448" customWidth="1"/>
    <col min="3331" max="3331" width="57.42578125" style="448" customWidth="1"/>
    <col min="3332" max="3332" width="9.7109375" style="448" customWidth="1"/>
    <col min="3333" max="3333" width="14.5703125" style="448" customWidth="1"/>
    <col min="3334" max="3334" width="9.7109375" style="448" bestFit="1" customWidth="1"/>
    <col min="3335" max="3335" width="18.85546875" style="448" customWidth="1"/>
    <col min="3336" max="3336" width="33" style="448" bestFit="1" customWidth="1"/>
    <col min="3337" max="3584" width="9.140625" style="448"/>
    <col min="3585" max="3585" width="5.28515625" style="448" customWidth="1"/>
    <col min="3586" max="3586" width="47.140625" style="448" customWidth="1"/>
    <col min="3587" max="3587" width="57.42578125" style="448" customWidth="1"/>
    <col min="3588" max="3588" width="9.7109375" style="448" customWidth="1"/>
    <col min="3589" max="3589" width="14.5703125" style="448" customWidth="1"/>
    <col min="3590" max="3590" width="9.7109375" style="448" bestFit="1" customWidth="1"/>
    <col min="3591" max="3591" width="18.85546875" style="448" customWidth="1"/>
    <col min="3592" max="3592" width="33" style="448" bestFit="1" customWidth="1"/>
    <col min="3593" max="3840" width="9.140625" style="448"/>
    <col min="3841" max="3841" width="5.28515625" style="448" customWidth="1"/>
    <col min="3842" max="3842" width="47.140625" style="448" customWidth="1"/>
    <col min="3843" max="3843" width="57.42578125" style="448" customWidth="1"/>
    <col min="3844" max="3844" width="9.7109375" style="448" customWidth="1"/>
    <col min="3845" max="3845" width="14.5703125" style="448" customWidth="1"/>
    <col min="3846" max="3846" width="9.7109375" style="448" bestFit="1" customWidth="1"/>
    <col min="3847" max="3847" width="18.85546875" style="448" customWidth="1"/>
    <col min="3848" max="3848" width="33" style="448" bestFit="1" customWidth="1"/>
    <col min="3849" max="4096" width="9.140625" style="448"/>
    <col min="4097" max="4097" width="5.28515625" style="448" customWidth="1"/>
    <col min="4098" max="4098" width="47.140625" style="448" customWidth="1"/>
    <col min="4099" max="4099" width="57.42578125" style="448" customWidth="1"/>
    <col min="4100" max="4100" width="9.7109375" style="448" customWidth="1"/>
    <col min="4101" max="4101" width="14.5703125" style="448" customWidth="1"/>
    <col min="4102" max="4102" width="9.7109375" style="448" bestFit="1" customWidth="1"/>
    <col min="4103" max="4103" width="18.85546875" style="448" customWidth="1"/>
    <col min="4104" max="4104" width="33" style="448" bestFit="1" customWidth="1"/>
    <col min="4105" max="4352" width="9.140625" style="448"/>
    <col min="4353" max="4353" width="5.28515625" style="448" customWidth="1"/>
    <col min="4354" max="4354" width="47.140625" style="448" customWidth="1"/>
    <col min="4355" max="4355" width="57.42578125" style="448" customWidth="1"/>
    <col min="4356" max="4356" width="9.7109375" style="448" customWidth="1"/>
    <col min="4357" max="4357" width="14.5703125" style="448" customWidth="1"/>
    <col min="4358" max="4358" width="9.7109375" style="448" bestFit="1" customWidth="1"/>
    <col min="4359" max="4359" width="18.85546875" style="448" customWidth="1"/>
    <col min="4360" max="4360" width="33" style="448" bestFit="1" customWidth="1"/>
    <col min="4361" max="4608" width="9.140625" style="448"/>
    <col min="4609" max="4609" width="5.28515625" style="448" customWidth="1"/>
    <col min="4610" max="4610" width="47.140625" style="448" customWidth="1"/>
    <col min="4611" max="4611" width="57.42578125" style="448" customWidth="1"/>
    <col min="4612" max="4612" width="9.7109375" style="448" customWidth="1"/>
    <col min="4613" max="4613" width="14.5703125" style="448" customWidth="1"/>
    <col min="4614" max="4614" width="9.7109375" style="448" bestFit="1" customWidth="1"/>
    <col min="4615" max="4615" width="18.85546875" style="448" customWidth="1"/>
    <col min="4616" max="4616" width="33" style="448" bestFit="1" customWidth="1"/>
    <col min="4617" max="4864" width="9.140625" style="448"/>
    <col min="4865" max="4865" width="5.28515625" style="448" customWidth="1"/>
    <col min="4866" max="4866" width="47.140625" style="448" customWidth="1"/>
    <col min="4867" max="4867" width="57.42578125" style="448" customWidth="1"/>
    <col min="4868" max="4868" width="9.7109375" style="448" customWidth="1"/>
    <col min="4869" max="4869" width="14.5703125" style="448" customWidth="1"/>
    <col min="4870" max="4870" width="9.7109375" style="448" bestFit="1" customWidth="1"/>
    <col min="4871" max="4871" width="18.85546875" style="448" customWidth="1"/>
    <col min="4872" max="4872" width="33" style="448" bestFit="1" customWidth="1"/>
    <col min="4873" max="5120" width="9.140625" style="448"/>
    <col min="5121" max="5121" width="5.28515625" style="448" customWidth="1"/>
    <col min="5122" max="5122" width="47.140625" style="448" customWidth="1"/>
    <col min="5123" max="5123" width="57.42578125" style="448" customWidth="1"/>
    <col min="5124" max="5124" width="9.7109375" style="448" customWidth="1"/>
    <col min="5125" max="5125" width="14.5703125" style="448" customWidth="1"/>
    <col min="5126" max="5126" width="9.7109375" style="448" bestFit="1" customWidth="1"/>
    <col min="5127" max="5127" width="18.85546875" style="448" customWidth="1"/>
    <col min="5128" max="5128" width="33" style="448" bestFit="1" customWidth="1"/>
    <col min="5129" max="5376" width="9.140625" style="448"/>
    <col min="5377" max="5377" width="5.28515625" style="448" customWidth="1"/>
    <col min="5378" max="5378" width="47.140625" style="448" customWidth="1"/>
    <col min="5379" max="5379" width="57.42578125" style="448" customWidth="1"/>
    <col min="5380" max="5380" width="9.7109375" style="448" customWidth="1"/>
    <col min="5381" max="5381" width="14.5703125" style="448" customWidth="1"/>
    <col min="5382" max="5382" width="9.7109375" style="448" bestFit="1" customWidth="1"/>
    <col min="5383" max="5383" width="18.85546875" style="448" customWidth="1"/>
    <col min="5384" max="5384" width="33" style="448" bestFit="1" customWidth="1"/>
    <col min="5385" max="5632" width="9.140625" style="448"/>
    <col min="5633" max="5633" width="5.28515625" style="448" customWidth="1"/>
    <col min="5634" max="5634" width="47.140625" style="448" customWidth="1"/>
    <col min="5635" max="5635" width="57.42578125" style="448" customWidth="1"/>
    <col min="5636" max="5636" width="9.7109375" style="448" customWidth="1"/>
    <col min="5637" max="5637" width="14.5703125" style="448" customWidth="1"/>
    <col min="5638" max="5638" width="9.7109375" style="448" bestFit="1" customWidth="1"/>
    <col min="5639" max="5639" width="18.85546875" style="448" customWidth="1"/>
    <col min="5640" max="5640" width="33" style="448" bestFit="1" customWidth="1"/>
    <col min="5641" max="5888" width="9.140625" style="448"/>
    <col min="5889" max="5889" width="5.28515625" style="448" customWidth="1"/>
    <col min="5890" max="5890" width="47.140625" style="448" customWidth="1"/>
    <col min="5891" max="5891" width="57.42578125" style="448" customWidth="1"/>
    <col min="5892" max="5892" width="9.7109375" style="448" customWidth="1"/>
    <col min="5893" max="5893" width="14.5703125" style="448" customWidth="1"/>
    <col min="5894" max="5894" width="9.7109375" style="448" bestFit="1" customWidth="1"/>
    <col min="5895" max="5895" width="18.85546875" style="448" customWidth="1"/>
    <col min="5896" max="5896" width="33" style="448" bestFit="1" customWidth="1"/>
    <col min="5897" max="6144" width="9.140625" style="448"/>
    <col min="6145" max="6145" width="5.28515625" style="448" customWidth="1"/>
    <col min="6146" max="6146" width="47.140625" style="448" customWidth="1"/>
    <col min="6147" max="6147" width="57.42578125" style="448" customWidth="1"/>
    <col min="6148" max="6148" width="9.7109375" style="448" customWidth="1"/>
    <col min="6149" max="6149" width="14.5703125" style="448" customWidth="1"/>
    <col min="6150" max="6150" width="9.7109375" style="448" bestFit="1" customWidth="1"/>
    <col min="6151" max="6151" width="18.85546875" style="448" customWidth="1"/>
    <col min="6152" max="6152" width="33" style="448" bestFit="1" customWidth="1"/>
    <col min="6153" max="6400" width="9.140625" style="448"/>
    <col min="6401" max="6401" width="5.28515625" style="448" customWidth="1"/>
    <col min="6402" max="6402" width="47.140625" style="448" customWidth="1"/>
    <col min="6403" max="6403" width="57.42578125" style="448" customWidth="1"/>
    <col min="6404" max="6404" width="9.7109375" style="448" customWidth="1"/>
    <col min="6405" max="6405" width="14.5703125" style="448" customWidth="1"/>
    <col min="6406" max="6406" width="9.7109375" style="448" bestFit="1" customWidth="1"/>
    <col min="6407" max="6407" width="18.85546875" style="448" customWidth="1"/>
    <col min="6408" max="6408" width="33" style="448" bestFit="1" customWidth="1"/>
    <col min="6409" max="6656" width="9.140625" style="448"/>
    <col min="6657" max="6657" width="5.28515625" style="448" customWidth="1"/>
    <col min="6658" max="6658" width="47.140625" style="448" customWidth="1"/>
    <col min="6659" max="6659" width="57.42578125" style="448" customWidth="1"/>
    <col min="6660" max="6660" width="9.7109375" style="448" customWidth="1"/>
    <col min="6661" max="6661" width="14.5703125" style="448" customWidth="1"/>
    <col min="6662" max="6662" width="9.7109375" style="448" bestFit="1" customWidth="1"/>
    <col min="6663" max="6663" width="18.85546875" style="448" customWidth="1"/>
    <col min="6664" max="6664" width="33" style="448" bestFit="1" customWidth="1"/>
    <col min="6665" max="6912" width="9.140625" style="448"/>
    <col min="6913" max="6913" width="5.28515625" style="448" customWidth="1"/>
    <col min="6914" max="6914" width="47.140625" style="448" customWidth="1"/>
    <col min="6915" max="6915" width="57.42578125" style="448" customWidth="1"/>
    <col min="6916" max="6916" width="9.7109375" style="448" customWidth="1"/>
    <col min="6917" max="6917" width="14.5703125" style="448" customWidth="1"/>
    <col min="6918" max="6918" width="9.7109375" style="448" bestFit="1" customWidth="1"/>
    <col min="6919" max="6919" width="18.85546875" style="448" customWidth="1"/>
    <col min="6920" max="6920" width="33" style="448" bestFit="1" customWidth="1"/>
    <col min="6921" max="7168" width="9.140625" style="448"/>
    <col min="7169" max="7169" width="5.28515625" style="448" customWidth="1"/>
    <col min="7170" max="7170" width="47.140625" style="448" customWidth="1"/>
    <col min="7171" max="7171" width="57.42578125" style="448" customWidth="1"/>
    <col min="7172" max="7172" width="9.7109375" style="448" customWidth="1"/>
    <col min="7173" max="7173" width="14.5703125" style="448" customWidth="1"/>
    <col min="7174" max="7174" width="9.7109375" style="448" bestFit="1" customWidth="1"/>
    <col min="7175" max="7175" width="18.85546875" style="448" customWidth="1"/>
    <col min="7176" max="7176" width="33" style="448" bestFit="1" customWidth="1"/>
    <col min="7177" max="7424" width="9.140625" style="448"/>
    <col min="7425" max="7425" width="5.28515625" style="448" customWidth="1"/>
    <col min="7426" max="7426" width="47.140625" style="448" customWidth="1"/>
    <col min="7427" max="7427" width="57.42578125" style="448" customWidth="1"/>
    <col min="7428" max="7428" width="9.7109375" style="448" customWidth="1"/>
    <col min="7429" max="7429" width="14.5703125" style="448" customWidth="1"/>
    <col min="7430" max="7430" width="9.7109375" style="448" bestFit="1" customWidth="1"/>
    <col min="7431" max="7431" width="18.85546875" style="448" customWidth="1"/>
    <col min="7432" max="7432" width="33" style="448" bestFit="1" customWidth="1"/>
    <col min="7433" max="7680" width="9.140625" style="448"/>
    <col min="7681" max="7681" width="5.28515625" style="448" customWidth="1"/>
    <col min="7682" max="7682" width="47.140625" style="448" customWidth="1"/>
    <col min="7683" max="7683" width="57.42578125" style="448" customWidth="1"/>
    <col min="7684" max="7684" width="9.7109375" style="448" customWidth="1"/>
    <col min="7685" max="7685" width="14.5703125" style="448" customWidth="1"/>
    <col min="7686" max="7686" width="9.7109375" style="448" bestFit="1" customWidth="1"/>
    <col min="7687" max="7687" width="18.85546875" style="448" customWidth="1"/>
    <col min="7688" max="7688" width="33" style="448" bestFit="1" customWidth="1"/>
    <col min="7689" max="7936" width="9.140625" style="448"/>
    <col min="7937" max="7937" width="5.28515625" style="448" customWidth="1"/>
    <col min="7938" max="7938" width="47.140625" style="448" customWidth="1"/>
    <col min="7939" max="7939" width="57.42578125" style="448" customWidth="1"/>
    <col min="7940" max="7940" width="9.7109375" style="448" customWidth="1"/>
    <col min="7941" max="7941" width="14.5703125" style="448" customWidth="1"/>
    <col min="7942" max="7942" width="9.7109375" style="448" bestFit="1" customWidth="1"/>
    <col min="7943" max="7943" width="18.85546875" style="448" customWidth="1"/>
    <col min="7944" max="7944" width="33" style="448" bestFit="1" customWidth="1"/>
    <col min="7945" max="8192" width="9.140625" style="448"/>
    <col min="8193" max="8193" width="5.28515625" style="448" customWidth="1"/>
    <col min="8194" max="8194" width="47.140625" style="448" customWidth="1"/>
    <col min="8195" max="8195" width="57.42578125" style="448" customWidth="1"/>
    <col min="8196" max="8196" width="9.7109375" style="448" customWidth="1"/>
    <col min="8197" max="8197" width="14.5703125" style="448" customWidth="1"/>
    <col min="8198" max="8198" width="9.7109375" style="448" bestFit="1" customWidth="1"/>
    <col min="8199" max="8199" width="18.85546875" style="448" customWidth="1"/>
    <col min="8200" max="8200" width="33" style="448" bestFit="1" customWidth="1"/>
    <col min="8201" max="8448" width="9.140625" style="448"/>
    <col min="8449" max="8449" width="5.28515625" style="448" customWidth="1"/>
    <col min="8450" max="8450" width="47.140625" style="448" customWidth="1"/>
    <col min="8451" max="8451" width="57.42578125" style="448" customWidth="1"/>
    <col min="8452" max="8452" width="9.7109375" style="448" customWidth="1"/>
    <col min="8453" max="8453" width="14.5703125" style="448" customWidth="1"/>
    <col min="8454" max="8454" width="9.7109375" style="448" bestFit="1" customWidth="1"/>
    <col min="8455" max="8455" width="18.85546875" style="448" customWidth="1"/>
    <col min="8456" max="8456" width="33" style="448" bestFit="1" customWidth="1"/>
    <col min="8457" max="8704" width="9.140625" style="448"/>
    <col min="8705" max="8705" width="5.28515625" style="448" customWidth="1"/>
    <col min="8706" max="8706" width="47.140625" style="448" customWidth="1"/>
    <col min="8707" max="8707" width="57.42578125" style="448" customWidth="1"/>
    <col min="8708" max="8708" width="9.7109375" style="448" customWidth="1"/>
    <col min="8709" max="8709" width="14.5703125" style="448" customWidth="1"/>
    <col min="8710" max="8710" width="9.7109375" style="448" bestFit="1" customWidth="1"/>
    <col min="8711" max="8711" width="18.85546875" style="448" customWidth="1"/>
    <col min="8712" max="8712" width="33" style="448" bestFit="1" customWidth="1"/>
    <col min="8713" max="8960" width="9.140625" style="448"/>
    <col min="8961" max="8961" width="5.28515625" style="448" customWidth="1"/>
    <col min="8962" max="8962" width="47.140625" style="448" customWidth="1"/>
    <col min="8963" max="8963" width="57.42578125" style="448" customWidth="1"/>
    <col min="8964" max="8964" width="9.7109375" style="448" customWidth="1"/>
    <col min="8965" max="8965" width="14.5703125" style="448" customWidth="1"/>
    <col min="8966" max="8966" width="9.7109375" style="448" bestFit="1" customWidth="1"/>
    <col min="8967" max="8967" width="18.85546875" style="448" customWidth="1"/>
    <col min="8968" max="8968" width="33" style="448" bestFit="1" customWidth="1"/>
    <col min="8969" max="9216" width="9.140625" style="448"/>
    <col min="9217" max="9217" width="5.28515625" style="448" customWidth="1"/>
    <col min="9218" max="9218" width="47.140625" style="448" customWidth="1"/>
    <col min="9219" max="9219" width="57.42578125" style="448" customWidth="1"/>
    <col min="9220" max="9220" width="9.7109375" style="448" customWidth="1"/>
    <col min="9221" max="9221" width="14.5703125" style="448" customWidth="1"/>
    <col min="9222" max="9222" width="9.7109375" style="448" bestFit="1" customWidth="1"/>
    <col min="9223" max="9223" width="18.85546875" style="448" customWidth="1"/>
    <col min="9224" max="9224" width="33" style="448" bestFit="1" customWidth="1"/>
    <col min="9225" max="9472" width="9.140625" style="448"/>
    <col min="9473" max="9473" width="5.28515625" style="448" customWidth="1"/>
    <col min="9474" max="9474" width="47.140625" style="448" customWidth="1"/>
    <col min="9475" max="9475" width="57.42578125" style="448" customWidth="1"/>
    <col min="9476" max="9476" width="9.7109375" style="448" customWidth="1"/>
    <col min="9477" max="9477" width="14.5703125" style="448" customWidth="1"/>
    <col min="9478" max="9478" width="9.7109375" style="448" bestFit="1" customWidth="1"/>
    <col min="9479" max="9479" width="18.85546875" style="448" customWidth="1"/>
    <col min="9480" max="9480" width="33" style="448" bestFit="1" customWidth="1"/>
    <col min="9481" max="9728" width="9.140625" style="448"/>
    <col min="9729" max="9729" width="5.28515625" style="448" customWidth="1"/>
    <col min="9730" max="9730" width="47.140625" style="448" customWidth="1"/>
    <col min="9731" max="9731" width="57.42578125" style="448" customWidth="1"/>
    <col min="9732" max="9732" width="9.7109375" style="448" customWidth="1"/>
    <col min="9733" max="9733" width="14.5703125" style="448" customWidth="1"/>
    <col min="9734" max="9734" width="9.7109375" style="448" bestFit="1" customWidth="1"/>
    <col min="9735" max="9735" width="18.85546875" style="448" customWidth="1"/>
    <col min="9736" max="9736" width="33" style="448" bestFit="1" customWidth="1"/>
    <col min="9737" max="9984" width="9.140625" style="448"/>
    <col min="9985" max="9985" width="5.28515625" style="448" customWidth="1"/>
    <col min="9986" max="9986" width="47.140625" style="448" customWidth="1"/>
    <col min="9987" max="9987" width="57.42578125" style="448" customWidth="1"/>
    <col min="9988" max="9988" width="9.7109375" style="448" customWidth="1"/>
    <col min="9989" max="9989" width="14.5703125" style="448" customWidth="1"/>
    <col min="9990" max="9990" width="9.7109375" style="448" bestFit="1" customWidth="1"/>
    <col min="9991" max="9991" width="18.85546875" style="448" customWidth="1"/>
    <col min="9992" max="9992" width="33" style="448" bestFit="1" customWidth="1"/>
    <col min="9993" max="10240" width="9.140625" style="448"/>
    <col min="10241" max="10241" width="5.28515625" style="448" customWidth="1"/>
    <col min="10242" max="10242" width="47.140625" style="448" customWidth="1"/>
    <col min="10243" max="10243" width="57.42578125" style="448" customWidth="1"/>
    <col min="10244" max="10244" width="9.7109375" style="448" customWidth="1"/>
    <col min="10245" max="10245" width="14.5703125" style="448" customWidth="1"/>
    <col min="10246" max="10246" width="9.7109375" style="448" bestFit="1" customWidth="1"/>
    <col min="10247" max="10247" width="18.85546875" style="448" customWidth="1"/>
    <col min="10248" max="10248" width="33" style="448" bestFit="1" customWidth="1"/>
    <col min="10249" max="10496" width="9.140625" style="448"/>
    <col min="10497" max="10497" width="5.28515625" style="448" customWidth="1"/>
    <col min="10498" max="10498" width="47.140625" style="448" customWidth="1"/>
    <col min="10499" max="10499" width="57.42578125" style="448" customWidth="1"/>
    <col min="10500" max="10500" width="9.7109375" style="448" customWidth="1"/>
    <col min="10501" max="10501" width="14.5703125" style="448" customWidth="1"/>
    <col min="10502" max="10502" width="9.7109375" style="448" bestFit="1" customWidth="1"/>
    <col min="10503" max="10503" width="18.85546875" style="448" customWidth="1"/>
    <col min="10504" max="10504" width="33" style="448" bestFit="1" customWidth="1"/>
    <col min="10505" max="10752" width="9.140625" style="448"/>
    <col min="10753" max="10753" width="5.28515625" style="448" customWidth="1"/>
    <col min="10754" max="10754" width="47.140625" style="448" customWidth="1"/>
    <col min="10755" max="10755" width="57.42578125" style="448" customWidth="1"/>
    <col min="10756" max="10756" width="9.7109375" style="448" customWidth="1"/>
    <col min="10757" max="10757" width="14.5703125" style="448" customWidth="1"/>
    <col min="10758" max="10758" width="9.7109375" style="448" bestFit="1" customWidth="1"/>
    <col min="10759" max="10759" width="18.85546875" style="448" customWidth="1"/>
    <col min="10760" max="10760" width="33" style="448" bestFit="1" customWidth="1"/>
    <col min="10761" max="11008" width="9.140625" style="448"/>
    <col min="11009" max="11009" width="5.28515625" style="448" customWidth="1"/>
    <col min="11010" max="11010" width="47.140625" style="448" customWidth="1"/>
    <col min="11011" max="11011" width="57.42578125" style="448" customWidth="1"/>
    <col min="11012" max="11012" width="9.7109375" style="448" customWidth="1"/>
    <col min="11013" max="11013" width="14.5703125" style="448" customWidth="1"/>
    <col min="11014" max="11014" width="9.7109375" style="448" bestFit="1" customWidth="1"/>
    <col min="11015" max="11015" width="18.85546875" style="448" customWidth="1"/>
    <col min="11016" max="11016" width="33" style="448" bestFit="1" customWidth="1"/>
    <col min="11017" max="11264" width="9.140625" style="448"/>
    <col min="11265" max="11265" width="5.28515625" style="448" customWidth="1"/>
    <col min="11266" max="11266" width="47.140625" style="448" customWidth="1"/>
    <col min="11267" max="11267" width="57.42578125" style="448" customWidth="1"/>
    <col min="11268" max="11268" width="9.7109375" style="448" customWidth="1"/>
    <col min="11269" max="11269" width="14.5703125" style="448" customWidth="1"/>
    <col min="11270" max="11270" width="9.7109375" style="448" bestFit="1" customWidth="1"/>
    <col min="11271" max="11271" width="18.85546875" style="448" customWidth="1"/>
    <col min="11272" max="11272" width="33" style="448" bestFit="1" customWidth="1"/>
    <col min="11273" max="11520" width="9.140625" style="448"/>
    <col min="11521" max="11521" width="5.28515625" style="448" customWidth="1"/>
    <col min="11522" max="11522" width="47.140625" style="448" customWidth="1"/>
    <col min="11523" max="11523" width="57.42578125" style="448" customWidth="1"/>
    <col min="11524" max="11524" width="9.7109375" style="448" customWidth="1"/>
    <col min="11525" max="11525" width="14.5703125" style="448" customWidth="1"/>
    <col min="11526" max="11526" width="9.7109375" style="448" bestFit="1" customWidth="1"/>
    <col min="11527" max="11527" width="18.85546875" style="448" customWidth="1"/>
    <col min="11528" max="11528" width="33" style="448" bestFit="1" customWidth="1"/>
    <col min="11529" max="11776" width="9.140625" style="448"/>
    <col min="11777" max="11777" width="5.28515625" style="448" customWidth="1"/>
    <col min="11778" max="11778" width="47.140625" style="448" customWidth="1"/>
    <col min="11779" max="11779" width="57.42578125" style="448" customWidth="1"/>
    <col min="11780" max="11780" width="9.7109375" style="448" customWidth="1"/>
    <col min="11781" max="11781" width="14.5703125" style="448" customWidth="1"/>
    <col min="11782" max="11782" width="9.7109375" style="448" bestFit="1" customWidth="1"/>
    <col min="11783" max="11783" width="18.85546875" style="448" customWidth="1"/>
    <col min="11784" max="11784" width="33" style="448" bestFit="1" customWidth="1"/>
    <col min="11785" max="12032" width="9.140625" style="448"/>
    <col min="12033" max="12033" width="5.28515625" style="448" customWidth="1"/>
    <col min="12034" max="12034" width="47.140625" style="448" customWidth="1"/>
    <col min="12035" max="12035" width="57.42578125" style="448" customWidth="1"/>
    <col min="12036" max="12036" width="9.7109375" style="448" customWidth="1"/>
    <col min="12037" max="12037" width="14.5703125" style="448" customWidth="1"/>
    <col min="12038" max="12038" width="9.7109375" style="448" bestFit="1" customWidth="1"/>
    <col min="12039" max="12039" width="18.85546875" style="448" customWidth="1"/>
    <col min="12040" max="12040" width="33" style="448" bestFit="1" customWidth="1"/>
    <col min="12041" max="12288" width="9.140625" style="448"/>
    <col min="12289" max="12289" width="5.28515625" style="448" customWidth="1"/>
    <col min="12290" max="12290" width="47.140625" style="448" customWidth="1"/>
    <col min="12291" max="12291" width="57.42578125" style="448" customWidth="1"/>
    <col min="12292" max="12292" width="9.7109375" style="448" customWidth="1"/>
    <col min="12293" max="12293" width="14.5703125" style="448" customWidth="1"/>
    <col min="12294" max="12294" width="9.7109375" style="448" bestFit="1" customWidth="1"/>
    <col min="12295" max="12295" width="18.85546875" style="448" customWidth="1"/>
    <col min="12296" max="12296" width="33" style="448" bestFit="1" customWidth="1"/>
    <col min="12297" max="12544" width="9.140625" style="448"/>
    <col min="12545" max="12545" width="5.28515625" style="448" customWidth="1"/>
    <col min="12546" max="12546" width="47.140625" style="448" customWidth="1"/>
    <col min="12547" max="12547" width="57.42578125" style="448" customWidth="1"/>
    <col min="12548" max="12548" width="9.7109375" style="448" customWidth="1"/>
    <col min="12549" max="12549" width="14.5703125" style="448" customWidth="1"/>
    <col min="12550" max="12550" width="9.7109375" style="448" bestFit="1" customWidth="1"/>
    <col min="12551" max="12551" width="18.85546875" style="448" customWidth="1"/>
    <col min="12552" max="12552" width="33" style="448" bestFit="1" customWidth="1"/>
    <col min="12553" max="12800" width="9.140625" style="448"/>
    <col min="12801" max="12801" width="5.28515625" style="448" customWidth="1"/>
    <col min="12802" max="12802" width="47.140625" style="448" customWidth="1"/>
    <col min="12803" max="12803" width="57.42578125" style="448" customWidth="1"/>
    <col min="12804" max="12804" width="9.7109375" style="448" customWidth="1"/>
    <col min="12805" max="12805" width="14.5703125" style="448" customWidth="1"/>
    <col min="12806" max="12806" width="9.7109375" style="448" bestFit="1" customWidth="1"/>
    <col min="12807" max="12807" width="18.85546875" style="448" customWidth="1"/>
    <col min="12808" max="12808" width="33" style="448" bestFit="1" customWidth="1"/>
    <col min="12809" max="13056" width="9.140625" style="448"/>
    <col min="13057" max="13057" width="5.28515625" style="448" customWidth="1"/>
    <col min="13058" max="13058" width="47.140625" style="448" customWidth="1"/>
    <col min="13059" max="13059" width="57.42578125" style="448" customWidth="1"/>
    <col min="13060" max="13060" width="9.7109375" style="448" customWidth="1"/>
    <col min="13061" max="13061" width="14.5703125" style="448" customWidth="1"/>
    <col min="13062" max="13062" width="9.7109375" style="448" bestFit="1" customWidth="1"/>
    <col min="13063" max="13063" width="18.85546875" style="448" customWidth="1"/>
    <col min="13064" max="13064" width="33" style="448" bestFit="1" customWidth="1"/>
    <col min="13065" max="13312" width="9.140625" style="448"/>
    <col min="13313" max="13313" width="5.28515625" style="448" customWidth="1"/>
    <col min="13314" max="13314" width="47.140625" style="448" customWidth="1"/>
    <col min="13315" max="13315" width="57.42578125" style="448" customWidth="1"/>
    <col min="13316" max="13316" width="9.7109375" style="448" customWidth="1"/>
    <col min="13317" max="13317" width="14.5703125" style="448" customWidth="1"/>
    <col min="13318" max="13318" width="9.7109375" style="448" bestFit="1" customWidth="1"/>
    <col min="13319" max="13319" width="18.85546875" style="448" customWidth="1"/>
    <col min="13320" max="13320" width="33" style="448" bestFit="1" customWidth="1"/>
    <col min="13321" max="13568" width="9.140625" style="448"/>
    <col min="13569" max="13569" width="5.28515625" style="448" customWidth="1"/>
    <col min="13570" max="13570" width="47.140625" style="448" customWidth="1"/>
    <col min="13571" max="13571" width="57.42578125" style="448" customWidth="1"/>
    <col min="13572" max="13572" width="9.7109375" style="448" customWidth="1"/>
    <col min="13573" max="13573" width="14.5703125" style="448" customWidth="1"/>
    <col min="13574" max="13574" width="9.7109375" style="448" bestFit="1" customWidth="1"/>
    <col min="13575" max="13575" width="18.85546875" style="448" customWidth="1"/>
    <col min="13576" max="13576" width="33" style="448" bestFit="1" customWidth="1"/>
    <col min="13577" max="13824" width="9.140625" style="448"/>
    <col min="13825" max="13825" width="5.28515625" style="448" customWidth="1"/>
    <col min="13826" max="13826" width="47.140625" style="448" customWidth="1"/>
    <col min="13827" max="13827" width="57.42578125" style="448" customWidth="1"/>
    <col min="13828" max="13828" width="9.7109375" style="448" customWidth="1"/>
    <col min="13829" max="13829" width="14.5703125" style="448" customWidth="1"/>
    <col min="13830" max="13830" width="9.7109375" style="448" bestFit="1" customWidth="1"/>
    <col min="13831" max="13831" width="18.85546875" style="448" customWidth="1"/>
    <col min="13832" max="13832" width="33" style="448" bestFit="1" customWidth="1"/>
    <col min="13833" max="14080" width="9.140625" style="448"/>
    <col min="14081" max="14081" width="5.28515625" style="448" customWidth="1"/>
    <col min="14082" max="14082" width="47.140625" style="448" customWidth="1"/>
    <col min="14083" max="14083" width="57.42578125" style="448" customWidth="1"/>
    <col min="14084" max="14084" width="9.7109375" style="448" customWidth="1"/>
    <col min="14085" max="14085" width="14.5703125" style="448" customWidth="1"/>
    <col min="14086" max="14086" width="9.7109375" style="448" bestFit="1" customWidth="1"/>
    <col min="14087" max="14087" width="18.85546875" style="448" customWidth="1"/>
    <col min="14088" max="14088" width="33" style="448" bestFit="1" customWidth="1"/>
    <col min="14089" max="14336" width="9.140625" style="448"/>
    <col min="14337" max="14337" width="5.28515625" style="448" customWidth="1"/>
    <col min="14338" max="14338" width="47.140625" style="448" customWidth="1"/>
    <col min="14339" max="14339" width="57.42578125" style="448" customWidth="1"/>
    <col min="14340" max="14340" width="9.7109375" style="448" customWidth="1"/>
    <col min="14341" max="14341" width="14.5703125" style="448" customWidth="1"/>
    <col min="14342" max="14342" width="9.7109375" style="448" bestFit="1" customWidth="1"/>
    <col min="14343" max="14343" width="18.85546875" style="448" customWidth="1"/>
    <col min="14344" max="14344" width="33" style="448" bestFit="1" customWidth="1"/>
    <col min="14345" max="14592" width="9.140625" style="448"/>
    <col min="14593" max="14593" width="5.28515625" style="448" customWidth="1"/>
    <col min="14594" max="14594" width="47.140625" style="448" customWidth="1"/>
    <col min="14595" max="14595" width="57.42578125" style="448" customWidth="1"/>
    <col min="14596" max="14596" width="9.7109375" style="448" customWidth="1"/>
    <col min="14597" max="14597" width="14.5703125" style="448" customWidth="1"/>
    <col min="14598" max="14598" width="9.7109375" style="448" bestFit="1" customWidth="1"/>
    <col min="14599" max="14599" width="18.85546875" style="448" customWidth="1"/>
    <col min="14600" max="14600" width="33" style="448" bestFit="1" customWidth="1"/>
    <col min="14601" max="14848" width="9.140625" style="448"/>
    <col min="14849" max="14849" width="5.28515625" style="448" customWidth="1"/>
    <col min="14850" max="14850" width="47.140625" style="448" customWidth="1"/>
    <col min="14851" max="14851" width="57.42578125" style="448" customWidth="1"/>
    <col min="14852" max="14852" width="9.7109375" style="448" customWidth="1"/>
    <col min="14853" max="14853" width="14.5703125" style="448" customWidth="1"/>
    <col min="14854" max="14854" width="9.7109375" style="448" bestFit="1" customWidth="1"/>
    <col min="14855" max="14855" width="18.85546875" style="448" customWidth="1"/>
    <col min="14856" max="14856" width="33" style="448" bestFit="1" customWidth="1"/>
    <col min="14857" max="15104" width="9.140625" style="448"/>
    <col min="15105" max="15105" width="5.28515625" style="448" customWidth="1"/>
    <col min="15106" max="15106" width="47.140625" style="448" customWidth="1"/>
    <col min="15107" max="15107" width="57.42578125" style="448" customWidth="1"/>
    <col min="15108" max="15108" width="9.7109375" style="448" customWidth="1"/>
    <col min="15109" max="15109" width="14.5703125" style="448" customWidth="1"/>
    <col min="15110" max="15110" width="9.7109375" style="448" bestFit="1" customWidth="1"/>
    <col min="15111" max="15111" width="18.85546875" style="448" customWidth="1"/>
    <col min="15112" max="15112" width="33" style="448" bestFit="1" customWidth="1"/>
    <col min="15113" max="15360" width="9.140625" style="448"/>
    <col min="15361" max="15361" width="5.28515625" style="448" customWidth="1"/>
    <col min="15362" max="15362" width="47.140625" style="448" customWidth="1"/>
    <col min="15363" max="15363" width="57.42578125" style="448" customWidth="1"/>
    <col min="15364" max="15364" width="9.7109375" style="448" customWidth="1"/>
    <col min="15365" max="15365" width="14.5703125" style="448" customWidth="1"/>
    <col min="15366" max="15366" width="9.7109375" style="448" bestFit="1" customWidth="1"/>
    <col min="15367" max="15367" width="18.85546875" style="448" customWidth="1"/>
    <col min="15368" max="15368" width="33" style="448" bestFit="1" customWidth="1"/>
    <col min="15369" max="15616" width="9.140625" style="448"/>
    <col min="15617" max="15617" width="5.28515625" style="448" customWidth="1"/>
    <col min="15618" max="15618" width="47.140625" style="448" customWidth="1"/>
    <col min="15619" max="15619" width="57.42578125" style="448" customWidth="1"/>
    <col min="15620" max="15620" width="9.7109375" style="448" customWidth="1"/>
    <col min="15621" max="15621" width="14.5703125" style="448" customWidth="1"/>
    <col min="15622" max="15622" width="9.7109375" style="448" bestFit="1" customWidth="1"/>
    <col min="15623" max="15623" width="18.85546875" style="448" customWidth="1"/>
    <col min="15624" max="15624" width="33" style="448" bestFit="1" customWidth="1"/>
    <col min="15625" max="15872" width="9.140625" style="448"/>
    <col min="15873" max="15873" width="5.28515625" style="448" customWidth="1"/>
    <col min="15874" max="15874" width="47.140625" style="448" customWidth="1"/>
    <col min="15875" max="15875" width="57.42578125" style="448" customWidth="1"/>
    <col min="15876" max="15876" width="9.7109375" style="448" customWidth="1"/>
    <col min="15877" max="15877" width="14.5703125" style="448" customWidth="1"/>
    <col min="15878" max="15878" width="9.7109375" style="448" bestFit="1" customWidth="1"/>
    <col min="15879" max="15879" width="18.85546875" style="448" customWidth="1"/>
    <col min="15880" max="15880" width="33" style="448" bestFit="1" customWidth="1"/>
    <col min="15881" max="16128" width="9.140625" style="448"/>
    <col min="16129" max="16129" width="5.28515625" style="448" customWidth="1"/>
    <col min="16130" max="16130" width="47.140625" style="448" customWidth="1"/>
    <col min="16131" max="16131" width="57.42578125" style="448" customWidth="1"/>
    <col min="16132" max="16132" width="9.7109375" style="448" customWidth="1"/>
    <col min="16133" max="16133" width="14.5703125" style="448" customWidth="1"/>
    <col min="16134" max="16134" width="9.7109375" style="448" bestFit="1" customWidth="1"/>
    <col min="16135" max="16135" width="18.85546875" style="448" customWidth="1"/>
    <col min="16136" max="16136" width="33" style="448" bestFit="1" customWidth="1"/>
    <col min="16137" max="16384" width="9.140625" style="448"/>
  </cols>
  <sheetData>
    <row r="1" spans="1:7" s="438" customFormat="1" ht="12" customHeight="1" x14ac:dyDescent="0.2">
      <c r="A1" s="867" t="s">
        <v>4789</v>
      </c>
      <c r="B1" s="868"/>
      <c r="C1" s="868"/>
      <c r="D1" s="868"/>
      <c r="E1" s="868"/>
      <c r="F1" s="869" t="s">
        <v>4790</v>
      </c>
      <c r="G1" s="437"/>
    </row>
    <row r="2" spans="1:7" s="438" customFormat="1" x14ac:dyDescent="0.2">
      <c r="A2" s="871" t="s">
        <v>53</v>
      </c>
      <c r="B2" s="872"/>
      <c r="C2" s="872"/>
      <c r="D2" s="872"/>
      <c r="E2" s="872"/>
      <c r="F2" s="870"/>
      <c r="G2" s="437"/>
    </row>
    <row r="3" spans="1:7" s="438" customFormat="1" x14ac:dyDescent="0.2">
      <c r="A3" s="439" t="s">
        <v>54</v>
      </c>
      <c r="B3" s="440" t="s">
        <v>55</v>
      </c>
      <c r="C3" s="441" t="s">
        <v>56</v>
      </c>
      <c r="D3" s="440" t="s">
        <v>57</v>
      </c>
      <c r="E3" s="440" t="s">
        <v>58</v>
      </c>
      <c r="F3" s="870"/>
      <c r="G3" s="437"/>
    </row>
    <row r="4" spans="1:7" x14ac:dyDescent="0.2">
      <c r="A4" s="270" t="s">
        <v>15</v>
      </c>
      <c r="B4" s="442" t="s">
        <v>4791</v>
      </c>
      <c r="C4" s="443"/>
      <c r="D4" s="444" t="s">
        <v>4792</v>
      </c>
      <c r="E4" s="445">
        <v>10</v>
      </c>
      <c r="F4" s="446">
        <f>ROUND(E4,2)</f>
        <v>10</v>
      </c>
      <c r="G4" s="447" t="s">
        <v>1194</v>
      </c>
    </row>
    <row r="5" spans="1:7" s="438" customFormat="1" x14ac:dyDescent="0.2">
      <c r="A5" s="439" t="s">
        <v>54</v>
      </c>
      <c r="B5" s="440" t="s">
        <v>55</v>
      </c>
      <c r="C5" s="441" t="s">
        <v>56</v>
      </c>
      <c r="D5" s="440" t="s">
        <v>57</v>
      </c>
      <c r="E5" s="440" t="s">
        <v>58</v>
      </c>
      <c r="F5" s="449"/>
      <c r="G5" s="437"/>
    </row>
    <row r="6" spans="1:7" ht="25.5" x14ac:dyDescent="0.2">
      <c r="A6" s="270" t="s">
        <v>17</v>
      </c>
      <c r="B6" s="443" t="s">
        <v>4793</v>
      </c>
      <c r="C6" s="443" t="s">
        <v>4794</v>
      </c>
      <c r="D6" s="450" t="s">
        <v>60</v>
      </c>
      <c r="E6" s="445">
        <v>1</v>
      </c>
      <c r="F6" s="446">
        <f t="shared" ref="F6:F17" si="0">ROUND(E6,2)</f>
        <v>1</v>
      </c>
      <c r="G6" s="447" t="s">
        <v>1194</v>
      </c>
    </row>
    <row r="7" spans="1:7" s="451" customFormat="1" x14ac:dyDescent="0.2">
      <c r="A7" s="270" t="s">
        <v>18</v>
      </c>
      <c r="B7" s="443" t="s">
        <v>4795</v>
      </c>
      <c r="C7" s="443" t="s">
        <v>4794</v>
      </c>
      <c r="D7" s="450" t="s">
        <v>60</v>
      </c>
      <c r="E7" s="445">
        <v>1</v>
      </c>
      <c r="F7" s="446">
        <f t="shared" si="0"/>
        <v>1</v>
      </c>
      <c r="G7" s="447" t="s">
        <v>1194</v>
      </c>
    </row>
    <row r="8" spans="1:7" ht="25.5" x14ac:dyDescent="0.2">
      <c r="A8" s="270" t="s">
        <v>4796</v>
      </c>
      <c r="B8" s="443" t="s">
        <v>4797</v>
      </c>
      <c r="C8" s="443" t="s">
        <v>4798</v>
      </c>
      <c r="D8" s="450" t="s">
        <v>61</v>
      </c>
      <c r="E8" s="445">
        <v>9569</v>
      </c>
      <c r="F8" s="446">
        <f t="shared" si="0"/>
        <v>9569</v>
      </c>
      <c r="G8" s="447" t="s">
        <v>1194</v>
      </c>
    </row>
    <row r="9" spans="1:7" ht="89.25" x14ac:dyDescent="0.2">
      <c r="A9" s="270" t="s">
        <v>4799</v>
      </c>
      <c r="B9" s="443" t="s">
        <v>4800</v>
      </c>
      <c r="C9" s="443" t="s">
        <v>4801</v>
      </c>
      <c r="D9" s="450" t="s">
        <v>61</v>
      </c>
      <c r="E9" s="445">
        <f>2073.02+276.26+1.52+323.69+873.76+55.55+1306.21</f>
        <v>4910.01</v>
      </c>
      <c r="F9" s="446">
        <f t="shared" si="0"/>
        <v>4910.01</v>
      </c>
      <c r="G9" s="452">
        <f>E9+'[4]Quant Const. Refeitorio'!E4+'[4]Quant Vestiários + Quadra'!E4</f>
        <v>7165.05</v>
      </c>
    </row>
    <row r="10" spans="1:7" s="451" customFormat="1" ht="38.25" x14ac:dyDescent="0.2">
      <c r="A10" s="270" t="s">
        <v>4802</v>
      </c>
      <c r="B10" s="443" t="s">
        <v>4803</v>
      </c>
      <c r="C10" s="443" t="s">
        <v>4804</v>
      </c>
      <c r="D10" s="450" t="s">
        <v>61</v>
      </c>
      <c r="E10" s="445">
        <v>20.3</v>
      </c>
      <c r="F10" s="446">
        <f t="shared" si="0"/>
        <v>20.3</v>
      </c>
      <c r="G10" s="447" t="s">
        <v>1194</v>
      </c>
    </row>
    <row r="11" spans="1:7" s="451" customFormat="1" ht="25.5" x14ac:dyDescent="0.2">
      <c r="A11" s="270" t="s">
        <v>4805</v>
      </c>
      <c r="B11" s="443" t="s">
        <v>4806</v>
      </c>
      <c r="C11" s="443" t="s">
        <v>4804</v>
      </c>
      <c r="D11" s="450" t="s">
        <v>61</v>
      </c>
      <c r="E11" s="445">
        <v>21.8</v>
      </c>
      <c r="F11" s="446">
        <f t="shared" si="0"/>
        <v>21.8</v>
      </c>
      <c r="G11" s="447" t="s">
        <v>1194</v>
      </c>
    </row>
    <row r="12" spans="1:7" s="451" customFormat="1" ht="38.25" x14ac:dyDescent="0.2">
      <c r="A12" s="270" t="s">
        <v>4807</v>
      </c>
      <c r="B12" s="443" t="s">
        <v>4808</v>
      </c>
      <c r="C12" s="443" t="s">
        <v>4804</v>
      </c>
      <c r="D12" s="450" t="s">
        <v>61</v>
      </c>
      <c r="E12" s="445">
        <v>14.5</v>
      </c>
      <c r="F12" s="446">
        <f t="shared" si="0"/>
        <v>14.5</v>
      </c>
      <c r="G12" s="447" t="s">
        <v>1194</v>
      </c>
    </row>
    <row r="13" spans="1:7" s="451" customFormat="1" ht="38.25" x14ac:dyDescent="0.2">
      <c r="A13" s="270" t="s">
        <v>4809</v>
      </c>
      <c r="B13" s="443" t="s">
        <v>4810</v>
      </c>
      <c r="C13" s="443" t="s">
        <v>4804</v>
      </c>
      <c r="D13" s="450" t="s">
        <v>61</v>
      </c>
      <c r="E13" s="445">
        <v>11.6</v>
      </c>
      <c r="F13" s="446">
        <f>ROUND(E13,2)</f>
        <v>11.6</v>
      </c>
      <c r="G13" s="447" t="s">
        <v>1194</v>
      </c>
    </row>
    <row r="14" spans="1:7" ht="25.5" x14ac:dyDescent="0.2">
      <c r="A14" s="270" t="s">
        <v>4811</v>
      </c>
      <c r="B14" s="453" t="s">
        <v>4812</v>
      </c>
      <c r="C14" s="443" t="s">
        <v>4813</v>
      </c>
      <c r="D14" s="450" t="s">
        <v>61</v>
      </c>
      <c r="E14" s="445">
        <f>430.85*2.2</f>
        <v>947.87000000000012</v>
      </c>
      <c r="F14" s="446">
        <f t="shared" si="0"/>
        <v>947.87</v>
      </c>
      <c r="G14" s="447" t="s">
        <v>1194</v>
      </c>
    </row>
    <row r="15" spans="1:7" ht="25.5" x14ac:dyDescent="0.2">
      <c r="A15" s="270" t="s">
        <v>4814</v>
      </c>
      <c r="B15" s="443" t="s">
        <v>4815</v>
      </c>
      <c r="C15" s="443" t="s">
        <v>4816</v>
      </c>
      <c r="D15" s="450" t="s">
        <v>89</v>
      </c>
      <c r="E15" s="445">
        <v>24</v>
      </c>
      <c r="F15" s="446">
        <f t="shared" si="0"/>
        <v>24</v>
      </c>
      <c r="G15" s="447" t="s">
        <v>1194</v>
      </c>
    </row>
    <row r="16" spans="1:7" x14ac:dyDescent="0.2">
      <c r="A16" s="270" t="s">
        <v>2678</v>
      </c>
      <c r="B16" s="454" t="s">
        <v>4817</v>
      </c>
      <c r="C16" s="443"/>
      <c r="D16" s="450" t="s">
        <v>60</v>
      </c>
      <c r="E16" s="445">
        <v>1</v>
      </c>
      <c r="F16" s="446">
        <f t="shared" si="0"/>
        <v>1</v>
      </c>
      <c r="G16" s="447" t="s">
        <v>1194</v>
      </c>
    </row>
    <row r="17" spans="1:8" x14ac:dyDescent="0.2">
      <c r="A17" s="270" t="s">
        <v>4818</v>
      </c>
      <c r="B17" s="454" t="s">
        <v>4819</v>
      </c>
      <c r="C17" s="443"/>
      <c r="D17" s="450" t="s">
        <v>60</v>
      </c>
      <c r="E17" s="445">
        <v>1</v>
      </c>
      <c r="F17" s="446">
        <f t="shared" si="0"/>
        <v>1</v>
      </c>
      <c r="G17" s="447" t="s">
        <v>1194</v>
      </c>
    </row>
    <row r="18" spans="1:8" s="438" customFormat="1" x14ac:dyDescent="0.2">
      <c r="A18" s="866" t="s">
        <v>62</v>
      </c>
      <c r="B18" s="865"/>
      <c r="C18" s="865"/>
      <c r="D18" s="865"/>
      <c r="E18" s="865"/>
      <c r="F18" s="449"/>
      <c r="G18" s="455"/>
    </row>
    <row r="19" spans="1:8" s="438" customFormat="1" x14ac:dyDescent="0.2">
      <c r="A19" s="439" t="s">
        <v>54</v>
      </c>
      <c r="B19" s="440" t="s">
        <v>55</v>
      </c>
      <c r="C19" s="441" t="s">
        <v>56</v>
      </c>
      <c r="D19" s="440" t="s">
        <v>57</v>
      </c>
      <c r="E19" s="440" t="s">
        <v>58</v>
      </c>
      <c r="F19" s="449"/>
      <c r="G19" s="456"/>
    </row>
    <row r="20" spans="1:8" x14ac:dyDescent="0.2">
      <c r="A20" s="457" t="s">
        <v>20</v>
      </c>
      <c r="B20" s="458" t="s">
        <v>4820</v>
      </c>
      <c r="C20" s="459" t="s">
        <v>4821</v>
      </c>
      <c r="D20" s="460" t="s">
        <v>61</v>
      </c>
      <c r="E20" s="461">
        <v>34.5</v>
      </c>
      <c r="F20" s="446">
        <f>ROUND(E20,2)</f>
        <v>34.5</v>
      </c>
      <c r="G20" s="462" t="s">
        <v>1194</v>
      </c>
    </row>
    <row r="21" spans="1:8" ht="25.5" x14ac:dyDescent="0.2">
      <c r="A21" s="457" t="s">
        <v>21</v>
      </c>
      <c r="B21" s="458" t="s">
        <v>4822</v>
      </c>
      <c r="C21" s="459" t="s">
        <v>4823</v>
      </c>
      <c r="D21" s="463" t="s">
        <v>61</v>
      </c>
      <c r="E21" s="461">
        <f>1142.98+1291.42</f>
        <v>2434.4</v>
      </c>
      <c r="F21" s="446">
        <f>ROUND(E21,2)</f>
        <v>2434.4</v>
      </c>
      <c r="G21" s="462" t="s">
        <v>1194</v>
      </c>
    </row>
    <row r="22" spans="1:8" x14ac:dyDescent="0.2">
      <c r="A22" s="457" t="s">
        <v>22</v>
      </c>
      <c r="B22" s="458" t="s">
        <v>4824</v>
      </c>
      <c r="C22" s="459" t="s">
        <v>4825</v>
      </c>
      <c r="D22" s="460" t="s">
        <v>63</v>
      </c>
      <c r="E22" s="461">
        <v>11.6</v>
      </c>
      <c r="F22" s="446">
        <f>ROUND(E22,2)</f>
        <v>11.6</v>
      </c>
      <c r="G22" s="462" t="s">
        <v>1194</v>
      </c>
    </row>
    <row r="23" spans="1:8" x14ac:dyDescent="0.2">
      <c r="A23" s="457" t="s">
        <v>23</v>
      </c>
      <c r="B23" s="458" t="s">
        <v>4826</v>
      </c>
      <c r="C23" s="459" t="s">
        <v>4827</v>
      </c>
      <c r="D23" s="463" t="s">
        <v>63</v>
      </c>
      <c r="E23" s="461">
        <f>25+16.93</f>
        <v>41.93</v>
      </c>
      <c r="F23" s="446">
        <f>ROUND(E23,2)</f>
        <v>41.93</v>
      </c>
      <c r="G23" s="462" t="s">
        <v>1194</v>
      </c>
    </row>
    <row r="24" spans="1:8" s="438" customFormat="1" x14ac:dyDescent="0.2">
      <c r="A24" s="866" t="s">
        <v>64</v>
      </c>
      <c r="B24" s="865"/>
      <c r="C24" s="865"/>
      <c r="D24" s="865"/>
      <c r="E24" s="865"/>
      <c r="F24" s="449"/>
    </row>
    <row r="25" spans="1:8" s="438" customFormat="1" x14ac:dyDescent="0.2">
      <c r="A25" s="439" t="s">
        <v>54</v>
      </c>
      <c r="B25" s="440" t="s">
        <v>55</v>
      </c>
      <c r="C25" s="441" t="s">
        <v>56</v>
      </c>
      <c r="D25" s="440" t="s">
        <v>57</v>
      </c>
      <c r="E25" s="440" t="s">
        <v>58</v>
      </c>
      <c r="F25" s="449"/>
    </row>
    <row r="26" spans="1:8" x14ac:dyDescent="0.2">
      <c r="A26" s="457" t="s">
        <v>25</v>
      </c>
      <c r="B26" s="458" t="s">
        <v>4828</v>
      </c>
      <c r="C26" s="459" t="s">
        <v>4829</v>
      </c>
      <c r="D26" s="464" t="s">
        <v>77</v>
      </c>
      <c r="E26" s="461">
        <f>8*0.8*1.7</f>
        <v>10.88</v>
      </c>
      <c r="F26" s="446">
        <f t="shared" ref="F26:F40" si="1">ROUND(E26,2)</f>
        <v>10.88</v>
      </c>
      <c r="G26" s="462" t="s">
        <v>1194</v>
      </c>
    </row>
    <row r="27" spans="1:8" x14ac:dyDescent="0.2">
      <c r="A27" s="457" t="s">
        <v>26</v>
      </c>
      <c r="B27" s="458" t="s">
        <v>4830</v>
      </c>
      <c r="C27" s="459" t="s">
        <v>4831</v>
      </c>
      <c r="D27" s="464" t="s">
        <v>77</v>
      </c>
      <c r="E27" s="461">
        <f>4*0.9*2.1</f>
        <v>7.5600000000000005</v>
      </c>
      <c r="F27" s="446">
        <f t="shared" si="1"/>
        <v>7.56</v>
      </c>
      <c r="G27" s="462" t="s">
        <v>1194</v>
      </c>
      <c r="H27" s="465"/>
    </row>
    <row r="28" spans="1:8" ht="25.5" x14ac:dyDescent="0.2">
      <c r="A28" s="457" t="s">
        <v>27</v>
      </c>
      <c r="B28" s="458" t="s">
        <v>4832</v>
      </c>
      <c r="C28" s="459" t="s">
        <v>4833</v>
      </c>
      <c r="D28" s="464" t="s">
        <v>77</v>
      </c>
      <c r="E28" s="461">
        <f>21*0.9*2.1</f>
        <v>39.690000000000005</v>
      </c>
      <c r="F28" s="446">
        <f t="shared" si="1"/>
        <v>39.69</v>
      </c>
      <c r="G28" s="462" t="s">
        <v>1194</v>
      </c>
    </row>
    <row r="29" spans="1:8" x14ac:dyDescent="0.2">
      <c r="A29" s="457" t="s">
        <v>1212</v>
      </c>
      <c r="B29" s="458" t="s">
        <v>4834</v>
      </c>
      <c r="C29" s="459" t="s">
        <v>4835</v>
      </c>
      <c r="D29" s="464" t="s">
        <v>77</v>
      </c>
      <c r="E29" s="461">
        <f>2*0.9*2.1</f>
        <v>3.7800000000000002</v>
      </c>
      <c r="F29" s="446">
        <f t="shared" si="1"/>
        <v>3.78</v>
      </c>
      <c r="G29" s="462" t="s">
        <v>1194</v>
      </c>
    </row>
    <row r="30" spans="1:8" x14ac:dyDescent="0.2">
      <c r="A30" s="457" t="s">
        <v>2721</v>
      </c>
      <c r="B30" s="458" t="s">
        <v>4836</v>
      </c>
      <c r="C30" s="459" t="s">
        <v>4837</v>
      </c>
      <c r="D30" s="464" t="s">
        <v>77</v>
      </c>
      <c r="E30" s="461">
        <f>1*2.1</f>
        <v>2.1</v>
      </c>
      <c r="F30" s="446">
        <f t="shared" si="1"/>
        <v>2.1</v>
      </c>
      <c r="G30" s="462" t="s">
        <v>1194</v>
      </c>
    </row>
    <row r="31" spans="1:8" x14ac:dyDescent="0.2">
      <c r="A31" s="457" t="s">
        <v>2731</v>
      </c>
      <c r="B31" s="458" t="s">
        <v>4838</v>
      </c>
      <c r="C31" s="459" t="s">
        <v>4839</v>
      </c>
      <c r="D31" s="464" t="s">
        <v>77</v>
      </c>
      <c r="E31" s="461">
        <f>1*2.1</f>
        <v>2.1</v>
      </c>
      <c r="F31" s="446">
        <f t="shared" si="1"/>
        <v>2.1</v>
      </c>
      <c r="G31" s="462" t="s">
        <v>1194</v>
      </c>
    </row>
    <row r="32" spans="1:8" x14ac:dyDescent="0.2">
      <c r="A32" s="457" t="s">
        <v>2748</v>
      </c>
      <c r="B32" s="458" t="s">
        <v>4840</v>
      </c>
      <c r="C32" s="459" t="s">
        <v>4841</v>
      </c>
      <c r="D32" s="464" t="s">
        <v>77</v>
      </c>
      <c r="E32" s="461">
        <f>6*0.8*2.1</f>
        <v>10.080000000000002</v>
      </c>
      <c r="F32" s="446">
        <f t="shared" si="1"/>
        <v>10.08</v>
      </c>
      <c r="G32" s="462" t="s">
        <v>1194</v>
      </c>
    </row>
    <row r="33" spans="1:7" ht="25.5" x14ac:dyDescent="0.2">
      <c r="A33" s="457" t="s">
        <v>2766</v>
      </c>
      <c r="B33" s="458" t="s">
        <v>4842</v>
      </c>
      <c r="C33" s="459" t="s">
        <v>4843</v>
      </c>
      <c r="D33" s="464" t="s">
        <v>77</v>
      </c>
      <c r="E33" s="461">
        <f>26*3*0.6</f>
        <v>46.8</v>
      </c>
      <c r="F33" s="446">
        <f t="shared" si="1"/>
        <v>46.8</v>
      </c>
      <c r="G33" s="462" t="s">
        <v>1194</v>
      </c>
    </row>
    <row r="34" spans="1:7" x14ac:dyDescent="0.2">
      <c r="A34" s="457" t="s">
        <v>2769</v>
      </c>
      <c r="B34" s="458" t="s">
        <v>4844</v>
      </c>
      <c r="C34" s="459" t="s">
        <v>4845</v>
      </c>
      <c r="D34" s="464" t="s">
        <v>77</v>
      </c>
      <c r="E34" s="461">
        <f>2*3*0.6</f>
        <v>3.5999999999999996</v>
      </c>
      <c r="F34" s="446">
        <f>ROUND(E34,2)</f>
        <v>3.6</v>
      </c>
      <c r="G34" s="462" t="s">
        <v>1194</v>
      </c>
    </row>
    <row r="35" spans="1:7" ht="25.5" x14ac:dyDescent="0.2">
      <c r="A35" s="457" t="s">
        <v>2796</v>
      </c>
      <c r="B35" s="458" t="s">
        <v>4846</v>
      </c>
      <c r="C35" s="459" t="s">
        <v>4847</v>
      </c>
      <c r="D35" s="464" t="s">
        <v>77</v>
      </c>
      <c r="E35" s="461">
        <f>46*1.2*2.4</f>
        <v>132.47999999999999</v>
      </c>
      <c r="F35" s="446">
        <f>ROUND(E35,2)</f>
        <v>132.47999999999999</v>
      </c>
      <c r="G35" s="462" t="s">
        <v>1194</v>
      </c>
    </row>
    <row r="36" spans="1:7" x14ac:dyDescent="0.2">
      <c r="A36" s="457" t="s">
        <v>2817</v>
      </c>
      <c r="B36" s="458" t="s">
        <v>4848</v>
      </c>
      <c r="C36" s="459" t="s">
        <v>4835</v>
      </c>
      <c r="D36" s="464" t="s">
        <v>77</v>
      </c>
      <c r="E36" s="461">
        <f>4*0.4*0.4</f>
        <v>0.64000000000000012</v>
      </c>
      <c r="F36" s="446">
        <f>ROUND(E36,2)</f>
        <v>0.64</v>
      </c>
      <c r="G36" s="462" t="s">
        <v>1194</v>
      </c>
    </row>
    <row r="37" spans="1:7" x14ac:dyDescent="0.2">
      <c r="A37" s="457" t="s">
        <v>2835</v>
      </c>
      <c r="B37" s="458" t="s">
        <v>4849</v>
      </c>
      <c r="C37" s="459" t="s">
        <v>4850</v>
      </c>
      <c r="D37" s="464" t="s">
        <v>77</v>
      </c>
      <c r="E37" s="461">
        <f>2*0.8*1</f>
        <v>1.6</v>
      </c>
      <c r="F37" s="446">
        <f>ROUND(E37,2)</f>
        <v>1.6</v>
      </c>
      <c r="G37" s="462" t="s">
        <v>1194</v>
      </c>
    </row>
    <row r="38" spans="1:7" x14ac:dyDescent="0.2">
      <c r="A38" s="457" t="s">
        <v>2855</v>
      </c>
      <c r="B38" s="458" t="s">
        <v>4851</v>
      </c>
      <c r="C38" s="459" t="s">
        <v>4852</v>
      </c>
      <c r="D38" s="464" t="s">
        <v>77</v>
      </c>
      <c r="E38" s="461">
        <v>37.42</v>
      </c>
      <c r="F38" s="446">
        <f t="shared" si="1"/>
        <v>37.42</v>
      </c>
      <c r="G38" s="462" t="s">
        <v>1194</v>
      </c>
    </row>
    <row r="39" spans="1:7" x14ac:dyDescent="0.2">
      <c r="A39" s="457" t="s">
        <v>2859</v>
      </c>
      <c r="B39" s="458" t="s">
        <v>4853</v>
      </c>
      <c r="C39" s="459" t="s">
        <v>4854</v>
      </c>
      <c r="D39" s="464" t="s">
        <v>77</v>
      </c>
      <c r="E39" s="461">
        <v>19.25</v>
      </c>
      <c r="F39" s="446">
        <f t="shared" si="1"/>
        <v>19.25</v>
      </c>
      <c r="G39" s="462" t="s">
        <v>1194</v>
      </c>
    </row>
    <row r="40" spans="1:7" ht="63.75" x14ac:dyDescent="0.2">
      <c r="A40" s="457" t="s">
        <v>2860</v>
      </c>
      <c r="B40" s="458" t="s">
        <v>4855</v>
      </c>
      <c r="C40" s="459" t="s">
        <v>4856</v>
      </c>
      <c r="D40" s="466" t="s">
        <v>61</v>
      </c>
      <c r="E40" s="461">
        <f>((1.89*4)+(1.89*21)+(1.89*2)+(1.68*6))*3</f>
        <v>183.32999999999998</v>
      </c>
      <c r="F40" s="446">
        <f t="shared" si="1"/>
        <v>183.33</v>
      </c>
      <c r="G40" s="462" t="s">
        <v>1194</v>
      </c>
    </row>
    <row r="41" spans="1:7" s="438" customFormat="1" x14ac:dyDescent="0.2">
      <c r="A41" s="866" t="s">
        <v>4857</v>
      </c>
      <c r="B41" s="865"/>
      <c r="C41" s="865"/>
      <c r="D41" s="865"/>
      <c r="E41" s="865"/>
      <c r="F41" s="449"/>
      <c r="G41" s="462" t="s">
        <v>1194</v>
      </c>
    </row>
    <row r="42" spans="1:7" s="438" customFormat="1" x14ac:dyDescent="0.2">
      <c r="A42" s="439" t="s">
        <v>54</v>
      </c>
      <c r="B42" s="440" t="s">
        <v>55</v>
      </c>
      <c r="C42" s="441" t="s">
        <v>56</v>
      </c>
      <c r="D42" s="440" t="s">
        <v>57</v>
      </c>
      <c r="E42" s="440" t="s">
        <v>58</v>
      </c>
      <c r="F42" s="449"/>
      <c r="G42" s="462" t="s">
        <v>1194</v>
      </c>
    </row>
    <row r="43" spans="1:7" x14ac:dyDescent="0.2">
      <c r="A43" s="457" t="s">
        <v>29</v>
      </c>
      <c r="B43" s="467" t="s">
        <v>4858</v>
      </c>
      <c r="C43" s="467" t="s">
        <v>4859</v>
      </c>
      <c r="D43" s="468" t="s">
        <v>63</v>
      </c>
      <c r="E43" s="468">
        <f>5.2+27.3+2.6+7.2</f>
        <v>42.300000000000004</v>
      </c>
      <c r="F43" s="446">
        <f t="shared" ref="F43:F47" si="2">ROUND(E43,2)</f>
        <v>42.3</v>
      </c>
      <c r="G43" s="462" t="s">
        <v>1194</v>
      </c>
    </row>
    <row r="44" spans="1:7" x14ac:dyDescent="0.2">
      <c r="A44" s="457" t="s">
        <v>30</v>
      </c>
      <c r="B44" s="458" t="s">
        <v>4860</v>
      </c>
      <c r="C44" s="467" t="s">
        <v>4861</v>
      </c>
      <c r="D44" s="468" t="s">
        <v>63</v>
      </c>
      <c r="E44" s="468">
        <f>93.6+7.2+73.6+2.6</f>
        <v>176.99999999999997</v>
      </c>
      <c r="F44" s="446">
        <f t="shared" si="2"/>
        <v>177</v>
      </c>
      <c r="G44" s="462" t="s">
        <v>1194</v>
      </c>
    </row>
    <row r="45" spans="1:7" x14ac:dyDescent="0.2">
      <c r="A45" s="457" t="s">
        <v>66</v>
      </c>
      <c r="B45" s="458" t="s">
        <v>4862</v>
      </c>
      <c r="C45" s="467" t="s">
        <v>4863</v>
      </c>
      <c r="D45" s="468" t="s">
        <v>63</v>
      </c>
      <c r="E45" s="468">
        <f>0.8*4</f>
        <v>3.2</v>
      </c>
      <c r="F45" s="446">
        <f t="shared" si="2"/>
        <v>3.2</v>
      </c>
      <c r="G45" s="462" t="s">
        <v>1194</v>
      </c>
    </row>
    <row r="46" spans="1:7" x14ac:dyDescent="0.2">
      <c r="A46" s="457" t="s">
        <v>67</v>
      </c>
      <c r="B46" s="458" t="s">
        <v>4864</v>
      </c>
      <c r="C46" s="459" t="s">
        <v>4865</v>
      </c>
      <c r="D46" s="466" t="s">
        <v>4866</v>
      </c>
      <c r="E46" s="461">
        <f>E44</f>
        <v>176.99999999999997</v>
      </c>
      <c r="F46" s="446">
        <f t="shared" si="2"/>
        <v>177</v>
      </c>
      <c r="G46" s="462" t="s">
        <v>1194</v>
      </c>
    </row>
    <row r="47" spans="1:7" x14ac:dyDescent="0.2">
      <c r="A47" s="457" t="s">
        <v>68</v>
      </c>
      <c r="B47" s="458" t="s">
        <v>4867</v>
      </c>
      <c r="C47" s="467">
        <v>2.8</v>
      </c>
      <c r="D47" s="466" t="s">
        <v>4866</v>
      </c>
      <c r="E47" s="461">
        <f>E45</f>
        <v>3.2</v>
      </c>
      <c r="F47" s="446">
        <f t="shared" si="2"/>
        <v>3.2</v>
      </c>
      <c r="G47" s="462" t="s">
        <v>1194</v>
      </c>
    </row>
    <row r="48" spans="1:7" s="438" customFormat="1" ht="22.5" customHeight="1" x14ac:dyDescent="0.2">
      <c r="A48" s="866" t="s">
        <v>72</v>
      </c>
      <c r="B48" s="865"/>
      <c r="C48" s="865"/>
      <c r="D48" s="865"/>
      <c r="E48" s="865"/>
      <c r="F48" s="449"/>
      <c r="G48" s="462"/>
    </row>
    <row r="49" spans="1:7" s="438" customFormat="1" x14ac:dyDescent="0.2">
      <c r="A49" s="439" t="s">
        <v>54</v>
      </c>
      <c r="B49" s="440" t="s">
        <v>55</v>
      </c>
      <c r="C49" s="441" t="s">
        <v>56</v>
      </c>
      <c r="D49" s="440" t="s">
        <v>57</v>
      </c>
      <c r="E49" s="440" t="s">
        <v>58</v>
      </c>
      <c r="F49" s="449"/>
      <c r="G49" s="462"/>
    </row>
    <row r="50" spans="1:7" ht="25.5" x14ac:dyDescent="0.2">
      <c r="A50" s="457" t="s">
        <v>32</v>
      </c>
      <c r="B50" s="458" t="s">
        <v>4868</v>
      </c>
      <c r="C50" s="459" t="s">
        <v>4869</v>
      </c>
      <c r="D50" s="468" t="s">
        <v>77</v>
      </c>
      <c r="E50" s="461">
        <f>2887.88+(2.2*4)</f>
        <v>2896.6800000000003</v>
      </c>
      <c r="F50" s="446">
        <f>ROUND(E50,2)</f>
        <v>2896.68</v>
      </c>
      <c r="G50" s="469" t="s">
        <v>1194</v>
      </c>
    </row>
    <row r="51" spans="1:7" s="438" customFormat="1" x14ac:dyDescent="0.2">
      <c r="A51" s="866" t="s">
        <v>564</v>
      </c>
      <c r="B51" s="865"/>
      <c r="C51" s="865"/>
      <c r="D51" s="865"/>
      <c r="E51" s="865"/>
      <c r="F51" s="449"/>
      <c r="G51" s="437"/>
    </row>
    <row r="52" spans="1:7" s="438" customFormat="1" x14ac:dyDescent="0.2">
      <c r="A52" s="439" t="s">
        <v>54</v>
      </c>
      <c r="B52" s="440" t="s">
        <v>55</v>
      </c>
      <c r="C52" s="441" t="s">
        <v>56</v>
      </c>
      <c r="D52" s="440" t="s">
        <v>57</v>
      </c>
      <c r="E52" s="440" t="s">
        <v>58</v>
      </c>
      <c r="F52" s="449"/>
      <c r="G52" s="437"/>
    </row>
    <row r="53" spans="1:7" ht="38.25" x14ac:dyDescent="0.2">
      <c r="A53" s="457" t="s">
        <v>73</v>
      </c>
      <c r="B53" s="458" t="s">
        <v>79</v>
      </c>
      <c r="C53" s="459" t="s">
        <v>4870</v>
      </c>
      <c r="D53" s="468" t="s">
        <v>77</v>
      </c>
      <c r="E53" s="461">
        <f>4574.37+17.6</f>
        <v>4591.97</v>
      </c>
      <c r="F53" s="446">
        <f t="shared" ref="F53:F57" si="3">ROUND(E53,2)</f>
        <v>4591.97</v>
      </c>
      <c r="G53" s="469" t="s">
        <v>1194</v>
      </c>
    </row>
    <row r="54" spans="1:7" x14ac:dyDescent="0.2">
      <c r="A54" s="457" t="s">
        <v>74</v>
      </c>
      <c r="B54" s="458" t="s">
        <v>4871</v>
      </c>
      <c r="C54" s="459" t="s">
        <v>4872</v>
      </c>
      <c r="D54" s="468" t="s">
        <v>77</v>
      </c>
      <c r="E54" s="461">
        <f>E53</f>
        <v>4591.97</v>
      </c>
      <c r="F54" s="446">
        <f t="shared" si="3"/>
        <v>4591.97</v>
      </c>
      <c r="G54" s="469" t="s">
        <v>1194</v>
      </c>
    </row>
    <row r="55" spans="1:7" x14ac:dyDescent="0.2">
      <c r="A55" s="457" t="s">
        <v>4873</v>
      </c>
      <c r="B55" s="458" t="s">
        <v>4874</v>
      </c>
      <c r="C55" s="459" t="s">
        <v>4875</v>
      </c>
      <c r="D55" s="468" t="s">
        <v>77</v>
      </c>
      <c r="E55" s="461">
        <v>1717</v>
      </c>
      <c r="F55" s="446"/>
      <c r="G55" s="462" t="s">
        <v>1194</v>
      </c>
    </row>
    <row r="56" spans="1:7" x14ac:dyDescent="0.2">
      <c r="A56" s="457" t="s">
        <v>4876</v>
      </c>
      <c r="B56" s="458" t="s">
        <v>4877</v>
      </c>
      <c r="C56" s="459" t="s">
        <v>4875</v>
      </c>
      <c r="D56" s="468" t="s">
        <v>77</v>
      </c>
      <c r="E56" s="461">
        <v>1717</v>
      </c>
      <c r="F56" s="446"/>
      <c r="G56" s="462" t="s">
        <v>1194</v>
      </c>
    </row>
    <row r="57" spans="1:7" x14ac:dyDescent="0.2">
      <c r="A57" s="457" t="s">
        <v>4878</v>
      </c>
      <c r="B57" s="470" t="s">
        <v>4879</v>
      </c>
      <c r="C57" s="471" t="s">
        <v>4880</v>
      </c>
      <c r="D57" s="468" t="s">
        <v>77</v>
      </c>
      <c r="E57" s="461">
        <f>'[5]PASTILHA AZUL BLOCO  EDUC.'!$M$12</f>
        <v>220.72000000000003</v>
      </c>
      <c r="F57" s="446">
        <f t="shared" si="3"/>
        <v>220.72</v>
      </c>
      <c r="G57" s="462" t="s">
        <v>1194</v>
      </c>
    </row>
    <row r="58" spans="1:7" ht="38.25" x14ac:dyDescent="0.2">
      <c r="A58" s="457" t="s">
        <v>4881</v>
      </c>
      <c r="B58" s="470" t="s">
        <v>4882</v>
      </c>
      <c r="C58" s="471" t="s">
        <v>4883</v>
      </c>
      <c r="D58" s="468" t="s">
        <v>77</v>
      </c>
      <c r="E58" s="461">
        <v>991.42</v>
      </c>
      <c r="F58" s="446"/>
      <c r="G58" s="462" t="s">
        <v>1194</v>
      </c>
    </row>
    <row r="59" spans="1:7" ht="25.5" x14ac:dyDescent="0.2">
      <c r="A59" s="457" t="s">
        <v>4884</v>
      </c>
      <c r="B59" s="470" t="s">
        <v>4885</v>
      </c>
      <c r="C59" s="471" t="s">
        <v>4886</v>
      </c>
      <c r="D59" s="468" t="s">
        <v>77</v>
      </c>
      <c r="E59" s="461">
        <v>142.91999999999999</v>
      </c>
      <c r="F59" s="446"/>
      <c r="G59" s="462" t="s">
        <v>1194</v>
      </c>
    </row>
    <row r="60" spans="1:7" ht="25.5" x14ac:dyDescent="0.2">
      <c r="A60" s="457" t="s">
        <v>4887</v>
      </c>
      <c r="B60" s="470" t="s">
        <v>4888</v>
      </c>
      <c r="C60" s="471" t="s">
        <v>4889</v>
      </c>
      <c r="D60" s="468" t="s">
        <v>77</v>
      </c>
      <c r="E60" s="461">
        <v>353.24</v>
      </c>
      <c r="F60" s="446"/>
      <c r="G60" s="462" t="s">
        <v>1194</v>
      </c>
    </row>
    <row r="61" spans="1:7" ht="51" x14ac:dyDescent="0.2">
      <c r="A61" s="457" t="s">
        <v>4890</v>
      </c>
      <c r="B61" s="458" t="s">
        <v>4891</v>
      </c>
      <c r="C61" s="471" t="s">
        <v>4892</v>
      </c>
      <c r="D61" s="472" t="s">
        <v>77</v>
      </c>
      <c r="E61" s="461">
        <f>230.54+110.56+2.64</f>
        <v>343.74</v>
      </c>
      <c r="F61" s="446">
        <f>ROUND(E61,2)</f>
        <v>343.74</v>
      </c>
      <c r="G61" s="462" t="s">
        <v>1194</v>
      </c>
    </row>
    <row r="62" spans="1:7" s="438" customFormat="1" x14ac:dyDescent="0.2">
      <c r="A62" s="858"/>
      <c r="B62" s="859"/>
      <c r="C62" s="859"/>
      <c r="D62" s="859"/>
      <c r="E62" s="859"/>
      <c r="F62" s="449"/>
      <c r="G62" s="473"/>
    </row>
    <row r="63" spans="1:7" s="438" customFormat="1" x14ac:dyDescent="0.2">
      <c r="A63" s="439" t="s">
        <v>54</v>
      </c>
      <c r="B63" s="440" t="s">
        <v>55</v>
      </c>
      <c r="C63" s="441" t="s">
        <v>56</v>
      </c>
      <c r="D63" s="440" t="s">
        <v>57</v>
      </c>
      <c r="E63" s="440" t="s">
        <v>58</v>
      </c>
      <c r="F63" s="449"/>
      <c r="G63" s="437"/>
    </row>
    <row r="64" spans="1:7" s="451" customFormat="1" x14ac:dyDescent="0.2">
      <c r="A64" s="457" t="s">
        <v>76</v>
      </c>
      <c r="B64" s="458" t="s">
        <v>4893</v>
      </c>
      <c r="C64" s="459" t="s">
        <v>4894</v>
      </c>
      <c r="D64" s="468" t="s">
        <v>77</v>
      </c>
      <c r="E64" s="461">
        <v>1976.65</v>
      </c>
      <c r="F64" s="446">
        <f t="shared" ref="F64:F70" si="4">ROUND(E64,2)</f>
        <v>1976.65</v>
      </c>
      <c r="G64" s="462" t="s">
        <v>1194</v>
      </c>
    </row>
    <row r="65" spans="1:9" s="451" customFormat="1" x14ac:dyDescent="0.2">
      <c r="A65" s="457" t="s">
        <v>4895</v>
      </c>
      <c r="B65" s="458" t="s">
        <v>4896</v>
      </c>
      <c r="C65" s="459" t="s">
        <v>4897</v>
      </c>
      <c r="D65" s="468" t="s">
        <v>63</v>
      </c>
      <c r="E65" s="461">
        <v>31.1</v>
      </c>
      <c r="F65" s="446">
        <f t="shared" si="4"/>
        <v>31.1</v>
      </c>
      <c r="G65" s="462" t="s">
        <v>1194</v>
      </c>
    </row>
    <row r="66" spans="1:9" s="480" customFormat="1" ht="89.25" x14ac:dyDescent="0.2">
      <c r="A66" s="474" t="s">
        <v>4898</v>
      </c>
      <c r="B66" s="475" t="s">
        <v>1225</v>
      </c>
      <c r="C66" s="476" t="s">
        <v>4899</v>
      </c>
      <c r="D66" s="477" t="s">
        <v>9</v>
      </c>
      <c r="E66" s="477">
        <f>276.12+121.07+52.94+36.27+43.06+55.55</f>
        <v>585.01</v>
      </c>
      <c r="F66" s="478">
        <f t="shared" si="4"/>
        <v>585.01</v>
      </c>
      <c r="G66" s="469" t="s">
        <v>1194</v>
      </c>
      <c r="H66" s="479"/>
      <c r="I66" s="479"/>
    </row>
    <row r="67" spans="1:9" s="480" customFormat="1" ht="25.5" x14ac:dyDescent="0.2">
      <c r="A67" s="474" t="s">
        <v>4900</v>
      </c>
      <c r="B67" s="475" t="s">
        <v>4901</v>
      </c>
      <c r="C67" s="476" t="s">
        <v>4902</v>
      </c>
      <c r="D67" s="477" t="s">
        <v>77</v>
      </c>
      <c r="E67" s="481">
        <f>43.13+873.76</f>
        <v>916.89</v>
      </c>
      <c r="F67" s="482">
        <f t="shared" si="4"/>
        <v>916.89</v>
      </c>
      <c r="G67" s="469" t="s">
        <v>1194</v>
      </c>
      <c r="H67" s="479"/>
      <c r="I67" s="479"/>
    </row>
    <row r="68" spans="1:9" s="480" customFormat="1" ht="63.75" x14ac:dyDescent="0.2">
      <c r="A68" s="474" t="s">
        <v>4903</v>
      </c>
      <c r="B68" s="475" t="s">
        <v>4904</v>
      </c>
      <c r="C68" s="476" t="s">
        <v>4905</v>
      </c>
      <c r="D68" s="477" t="s">
        <v>63</v>
      </c>
      <c r="E68" s="481">
        <f>257.26+80.91+56+401.78</f>
        <v>795.94999999999993</v>
      </c>
      <c r="F68" s="482">
        <f t="shared" si="4"/>
        <v>795.95</v>
      </c>
      <c r="G68" s="469" t="s">
        <v>1194</v>
      </c>
      <c r="H68" s="479"/>
      <c r="I68" s="483"/>
    </row>
    <row r="69" spans="1:9" s="480" customFormat="1" ht="25.5" x14ac:dyDescent="0.2">
      <c r="A69" s="474" t="s">
        <v>4906</v>
      </c>
      <c r="B69" s="475" t="s">
        <v>4907</v>
      </c>
      <c r="C69" s="476" t="s">
        <v>4908</v>
      </c>
      <c r="D69" s="477" t="s">
        <v>63</v>
      </c>
      <c r="E69" s="481">
        <f>(7.85*4)+15.64</f>
        <v>47.04</v>
      </c>
      <c r="F69" s="482">
        <f t="shared" si="4"/>
        <v>47.04</v>
      </c>
      <c r="G69" s="469" t="s">
        <v>1194</v>
      </c>
      <c r="H69" s="479"/>
      <c r="I69" s="484"/>
    </row>
    <row r="70" spans="1:9" s="480" customFormat="1" ht="38.25" x14ac:dyDescent="0.2">
      <c r="A70" s="474" t="s">
        <v>4909</v>
      </c>
      <c r="B70" s="475" t="s">
        <v>4910</v>
      </c>
      <c r="C70" s="476" t="s">
        <v>4911</v>
      </c>
      <c r="D70" s="477" t="s">
        <v>77</v>
      </c>
      <c r="E70" s="481">
        <f>543.31+666.22+96.68</f>
        <v>1306.21</v>
      </c>
      <c r="F70" s="482">
        <f t="shared" si="4"/>
        <v>1306.21</v>
      </c>
      <c r="G70" s="469" t="s">
        <v>1194</v>
      </c>
    </row>
    <row r="71" spans="1:9" s="438" customFormat="1" x14ac:dyDescent="0.2">
      <c r="A71" s="866" t="s">
        <v>12</v>
      </c>
      <c r="B71" s="865"/>
      <c r="C71" s="865"/>
      <c r="D71" s="865"/>
      <c r="E71" s="865"/>
      <c r="F71" s="449"/>
      <c r="G71" s="437"/>
    </row>
    <row r="72" spans="1:9" s="438" customFormat="1" x14ac:dyDescent="0.2">
      <c r="A72" s="439" t="s">
        <v>54</v>
      </c>
      <c r="B72" s="440" t="s">
        <v>55</v>
      </c>
      <c r="C72" s="441" t="s">
        <v>56</v>
      </c>
      <c r="D72" s="440" t="s">
        <v>57</v>
      </c>
      <c r="E72" s="440" t="s">
        <v>58</v>
      </c>
      <c r="F72" s="449"/>
      <c r="G72" s="437"/>
    </row>
    <row r="73" spans="1:9" ht="25.5" x14ac:dyDescent="0.2">
      <c r="A73" s="457" t="s">
        <v>78</v>
      </c>
      <c r="B73" s="458" t="s">
        <v>4912</v>
      </c>
      <c r="C73" s="459" t="s">
        <v>4913</v>
      </c>
      <c r="D73" s="485" t="s">
        <v>61</v>
      </c>
      <c r="E73" s="468">
        <v>1916.87</v>
      </c>
      <c r="F73" s="446">
        <f t="shared" ref="F73:F80" si="5">ROUND(E73,2)</f>
        <v>1916.87</v>
      </c>
      <c r="G73" s="4" t="s">
        <v>1194</v>
      </c>
    </row>
    <row r="74" spans="1:9" ht="25.5" x14ac:dyDescent="0.2">
      <c r="A74" s="457" t="s">
        <v>80</v>
      </c>
      <c r="B74" s="458" t="s">
        <v>4914</v>
      </c>
      <c r="C74" s="459" t="s">
        <v>4913</v>
      </c>
      <c r="D74" s="485" t="s">
        <v>61</v>
      </c>
      <c r="E74" s="468">
        <v>1916.87</v>
      </c>
      <c r="F74" s="446">
        <f>ROUND(E74,2)</f>
        <v>1916.87</v>
      </c>
      <c r="G74" s="4" t="s">
        <v>1194</v>
      </c>
    </row>
    <row r="75" spans="1:9" x14ac:dyDescent="0.2">
      <c r="A75" s="457" t="s">
        <v>81</v>
      </c>
      <c r="B75" s="458" t="s">
        <v>4915</v>
      </c>
      <c r="C75" s="459" t="s">
        <v>4875</v>
      </c>
      <c r="D75" s="485" t="s">
        <v>77</v>
      </c>
      <c r="E75" s="461">
        <f>E55</f>
        <v>1717</v>
      </c>
      <c r="F75" s="446">
        <f t="shared" ref="F75:F77" si="6">ROUND(E75,2)</f>
        <v>1717</v>
      </c>
      <c r="G75" s="4" t="s">
        <v>1194</v>
      </c>
    </row>
    <row r="76" spans="1:9" x14ac:dyDescent="0.2">
      <c r="A76" s="457" t="s">
        <v>91</v>
      </c>
      <c r="B76" s="458" t="s">
        <v>4916</v>
      </c>
      <c r="C76" s="459" t="s">
        <v>4875</v>
      </c>
      <c r="D76" s="485" t="s">
        <v>77</v>
      </c>
      <c r="E76" s="461">
        <f>E56</f>
        <v>1717</v>
      </c>
      <c r="F76" s="446">
        <f t="shared" si="6"/>
        <v>1717</v>
      </c>
      <c r="G76" s="4" t="s">
        <v>1194</v>
      </c>
    </row>
    <row r="77" spans="1:9" s="480" customFormat="1" ht="38.25" x14ac:dyDescent="0.2">
      <c r="A77" s="474" t="s">
        <v>92</v>
      </c>
      <c r="B77" s="475" t="s">
        <v>4917</v>
      </c>
      <c r="C77" s="476" t="s">
        <v>4918</v>
      </c>
      <c r="D77" s="486" t="s">
        <v>77</v>
      </c>
      <c r="E77" s="481">
        <f>987.14+5.28+(8.8*2)</f>
        <v>1010.02</v>
      </c>
      <c r="F77" s="482">
        <f t="shared" si="6"/>
        <v>1010.02</v>
      </c>
      <c r="G77" s="487" t="s">
        <v>1194</v>
      </c>
    </row>
    <row r="78" spans="1:9" ht="38.25" x14ac:dyDescent="0.2">
      <c r="A78" s="457" t="s">
        <v>4919</v>
      </c>
      <c r="B78" s="458" t="s">
        <v>4920</v>
      </c>
      <c r="C78" s="459" t="s">
        <v>4921</v>
      </c>
      <c r="D78" s="485" t="s">
        <v>61</v>
      </c>
      <c r="E78" s="461">
        <v>987.14</v>
      </c>
      <c r="F78" s="446">
        <f>ROUND(E78,2)</f>
        <v>987.14</v>
      </c>
      <c r="G78" s="4" t="s">
        <v>1194</v>
      </c>
    </row>
    <row r="79" spans="1:9" ht="51" x14ac:dyDescent="0.2">
      <c r="A79" s="457" t="s">
        <v>4922</v>
      </c>
      <c r="B79" s="458" t="s">
        <v>4923</v>
      </c>
      <c r="C79" s="459" t="s">
        <v>4924</v>
      </c>
      <c r="D79" s="485" t="s">
        <v>61</v>
      </c>
      <c r="E79" s="461">
        <f>987.14+221.12+5.28</f>
        <v>1213.54</v>
      </c>
      <c r="F79" s="446">
        <f>ROUND(E79,2)</f>
        <v>1213.54</v>
      </c>
      <c r="G79" s="4" t="s">
        <v>1194</v>
      </c>
    </row>
    <row r="80" spans="1:9" x14ac:dyDescent="0.2">
      <c r="A80" s="457" t="s">
        <v>4925</v>
      </c>
      <c r="B80" s="458" t="s">
        <v>4926</v>
      </c>
      <c r="C80" s="459" t="s">
        <v>4927</v>
      </c>
      <c r="D80" s="485" t="s">
        <v>61</v>
      </c>
      <c r="E80" s="468">
        <v>140.72</v>
      </c>
      <c r="F80" s="446">
        <f t="shared" si="5"/>
        <v>140.72</v>
      </c>
      <c r="G80" s="4" t="s">
        <v>1194</v>
      </c>
    </row>
    <row r="81" spans="1:9" s="438" customFormat="1" x14ac:dyDescent="0.2">
      <c r="A81" s="858" t="s">
        <v>4928</v>
      </c>
      <c r="B81" s="859"/>
      <c r="C81" s="859"/>
      <c r="D81" s="859"/>
      <c r="E81" s="859"/>
      <c r="F81" s="449"/>
      <c r="G81" s="437"/>
    </row>
    <row r="82" spans="1:9" s="438" customFormat="1" x14ac:dyDescent="0.2">
      <c r="A82" s="439" t="s">
        <v>54</v>
      </c>
      <c r="B82" s="440" t="s">
        <v>55</v>
      </c>
      <c r="C82" s="441" t="s">
        <v>56</v>
      </c>
      <c r="D82" s="440" t="s">
        <v>57</v>
      </c>
      <c r="E82" s="440" t="s">
        <v>58</v>
      </c>
      <c r="F82" s="449"/>
      <c r="G82" s="473"/>
    </row>
    <row r="83" spans="1:9" x14ac:dyDescent="0.2">
      <c r="A83" s="457" t="s">
        <v>82</v>
      </c>
      <c r="B83" s="458" t="s">
        <v>4929</v>
      </c>
      <c r="C83" s="459" t="s">
        <v>4930</v>
      </c>
      <c r="D83" s="468" t="s">
        <v>77</v>
      </c>
      <c r="E83" s="461">
        <f>'[5]FORRO PVC  E PINT. LAJE  E COBE'!$F$11</f>
        <v>64.850000000000009</v>
      </c>
      <c r="F83" s="446">
        <f>ROUND(E83,2)</f>
        <v>64.849999999999994</v>
      </c>
      <c r="G83" s="462" t="s">
        <v>1194</v>
      </c>
    </row>
    <row r="84" spans="1:9" s="488" customFormat="1" x14ac:dyDescent="0.2">
      <c r="A84" s="457" t="s">
        <v>93</v>
      </c>
      <c r="B84" s="458" t="s">
        <v>4931</v>
      </c>
      <c r="C84" s="459" t="s">
        <v>4932</v>
      </c>
      <c r="D84" s="468" t="s">
        <v>61</v>
      </c>
      <c r="E84" s="461">
        <f xml:space="preserve"> 16.69+13.56</f>
        <v>30.25</v>
      </c>
      <c r="F84" s="446">
        <f>ROUND(E84,2)</f>
        <v>30.25</v>
      </c>
      <c r="G84" s="462"/>
    </row>
    <row r="85" spans="1:9" s="438" customFormat="1" x14ac:dyDescent="0.2">
      <c r="A85" s="858" t="s">
        <v>554</v>
      </c>
      <c r="B85" s="859"/>
      <c r="C85" s="859"/>
      <c r="D85" s="859"/>
      <c r="E85" s="859"/>
      <c r="F85" s="449"/>
      <c r="G85" s="437"/>
    </row>
    <row r="86" spans="1:9" s="438" customFormat="1" x14ac:dyDescent="0.2">
      <c r="A86" s="439" t="s">
        <v>54</v>
      </c>
      <c r="B86" s="440" t="s">
        <v>55</v>
      </c>
      <c r="C86" s="441" t="s">
        <v>56</v>
      </c>
      <c r="D86" s="440" t="s">
        <v>57</v>
      </c>
      <c r="E86" s="440" t="s">
        <v>58</v>
      </c>
      <c r="F86" s="449"/>
      <c r="G86" s="473"/>
    </row>
    <row r="87" spans="1:9" s="480" customFormat="1" ht="25.5" x14ac:dyDescent="0.2">
      <c r="A87" s="474" t="s">
        <v>83</v>
      </c>
      <c r="B87" s="489" t="s">
        <v>4933</v>
      </c>
      <c r="C87" s="476" t="s">
        <v>4934</v>
      </c>
      <c r="D87" s="477" t="s">
        <v>61</v>
      </c>
      <c r="E87" s="481">
        <f>1870.82+1210.07</f>
        <v>3080.89</v>
      </c>
      <c r="F87" s="482">
        <f t="shared" ref="F87:F93" si="7">ROUND(E87,2)</f>
        <v>3080.89</v>
      </c>
      <c r="G87" s="469" t="s">
        <v>1194</v>
      </c>
    </row>
    <row r="88" spans="1:9" s="480" customFormat="1" x14ac:dyDescent="0.2">
      <c r="A88" s="474" t="s">
        <v>94</v>
      </c>
      <c r="B88" s="489" t="s">
        <v>4935</v>
      </c>
      <c r="C88" s="476" t="s">
        <v>4936</v>
      </c>
      <c r="D88" s="477" t="s">
        <v>60</v>
      </c>
      <c r="E88" s="481">
        <v>780</v>
      </c>
      <c r="F88" s="482">
        <v>14</v>
      </c>
      <c r="G88" s="469" t="s">
        <v>1194</v>
      </c>
    </row>
    <row r="89" spans="1:9" s="480" customFormat="1" x14ac:dyDescent="0.2">
      <c r="A89" s="474" t="s">
        <v>4937</v>
      </c>
      <c r="B89" s="489" t="s">
        <v>4938</v>
      </c>
      <c r="C89" s="476" t="s">
        <v>4939</v>
      </c>
      <c r="D89" s="477" t="s">
        <v>60</v>
      </c>
      <c r="E89" s="481">
        <v>22</v>
      </c>
      <c r="F89" s="482">
        <f t="shared" si="7"/>
        <v>22</v>
      </c>
      <c r="G89" s="469" t="s">
        <v>1194</v>
      </c>
      <c r="H89" s="480">
        <v>157.22999999999999</v>
      </c>
      <c r="I89" s="480">
        <f>H89/0.2</f>
        <v>786.14999999999986</v>
      </c>
    </row>
    <row r="90" spans="1:9" s="480" customFormat="1" x14ac:dyDescent="0.2">
      <c r="A90" s="474" t="s">
        <v>4940</v>
      </c>
      <c r="B90" s="489" t="s">
        <v>1208</v>
      </c>
      <c r="C90" s="476" t="s">
        <v>4941</v>
      </c>
      <c r="D90" s="477" t="s">
        <v>60</v>
      </c>
      <c r="E90" s="481">
        <v>7</v>
      </c>
      <c r="F90" s="482">
        <f t="shared" si="7"/>
        <v>7</v>
      </c>
      <c r="G90" s="469" t="s">
        <v>1194</v>
      </c>
    </row>
    <row r="91" spans="1:9" s="480" customFormat="1" x14ac:dyDescent="0.2">
      <c r="A91" s="474" t="s">
        <v>4942</v>
      </c>
      <c r="B91" s="489" t="s">
        <v>1207</v>
      </c>
      <c r="C91" s="476" t="s">
        <v>4943</v>
      </c>
      <c r="D91" s="477" t="s">
        <v>60</v>
      </c>
      <c r="E91" s="481">
        <v>19</v>
      </c>
      <c r="F91" s="482">
        <f t="shared" si="7"/>
        <v>19</v>
      </c>
      <c r="G91" s="469" t="s">
        <v>1194</v>
      </c>
    </row>
    <row r="92" spans="1:9" s="480" customFormat="1" x14ac:dyDescent="0.2">
      <c r="A92" s="474" t="s">
        <v>4944</v>
      </c>
      <c r="B92" s="489" t="s">
        <v>4945</v>
      </c>
      <c r="C92" s="476" t="s">
        <v>4941</v>
      </c>
      <c r="D92" s="477" t="s">
        <v>60</v>
      </c>
      <c r="E92" s="481">
        <v>7</v>
      </c>
      <c r="F92" s="482">
        <f t="shared" si="7"/>
        <v>7</v>
      </c>
      <c r="G92" s="469" t="s">
        <v>1194</v>
      </c>
    </row>
    <row r="93" spans="1:9" s="480" customFormat="1" x14ac:dyDescent="0.2">
      <c r="A93" s="474" t="s">
        <v>4946</v>
      </c>
      <c r="B93" s="489" t="s">
        <v>4947</v>
      </c>
      <c r="C93" s="490" t="s">
        <v>4948</v>
      </c>
      <c r="D93" s="477" t="s">
        <v>1175</v>
      </c>
      <c r="E93" s="481">
        <v>7</v>
      </c>
      <c r="F93" s="482">
        <f t="shared" si="7"/>
        <v>7</v>
      </c>
      <c r="G93" s="469" t="s">
        <v>1194</v>
      </c>
    </row>
    <row r="94" spans="1:9" s="438" customFormat="1" x14ac:dyDescent="0.2">
      <c r="A94" s="858" t="s">
        <v>65</v>
      </c>
      <c r="B94" s="859"/>
      <c r="C94" s="859"/>
      <c r="D94" s="859"/>
      <c r="E94" s="859"/>
      <c r="F94" s="449"/>
      <c r="G94" s="437"/>
    </row>
    <row r="95" spans="1:9" s="438" customFormat="1" x14ac:dyDescent="0.2">
      <c r="A95" s="439" t="s">
        <v>54</v>
      </c>
      <c r="B95" s="440" t="s">
        <v>55</v>
      </c>
      <c r="C95" s="441" t="s">
        <v>56</v>
      </c>
      <c r="D95" s="440" t="s">
        <v>57</v>
      </c>
      <c r="E95" s="440" t="s">
        <v>58</v>
      </c>
      <c r="F95" s="449"/>
      <c r="G95" s="437"/>
    </row>
    <row r="96" spans="1:9" x14ac:dyDescent="0.2">
      <c r="A96" s="457" t="s">
        <v>84</v>
      </c>
      <c r="B96" s="491" t="s">
        <v>4949</v>
      </c>
      <c r="C96" s="459" t="s">
        <v>4950</v>
      </c>
      <c r="D96" s="468" t="s">
        <v>52</v>
      </c>
      <c r="E96" s="461">
        <v>1</v>
      </c>
      <c r="F96" s="446">
        <f t="shared" ref="F96:F99" si="8">ROUND(E96,2)</f>
        <v>1</v>
      </c>
      <c r="G96" s="462" t="s">
        <v>1194</v>
      </c>
    </row>
    <row r="97" spans="1:7" ht="25.5" x14ac:dyDescent="0.2">
      <c r="A97" s="457" t="s">
        <v>85</v>
      </c>
      <c r="B97" s="491" t="s">
        <v>4951</v>
      </c>
      <c r="C97" s="459" t="s">
        <v>4952</v>
      </c>
      <c r="D97" s="468" t="s">
        <v>52</v>
      </c>
      <c r="E97" s="461">
        <v>22</v>
      </c>
      <c r="F97" s="446">
        <f t="shared" si="8"/>
        <v>22</v>
      </c>
      <c r="G97" s="462" t="s">
        <v>1194</v>
      </c>
    </row>
    <row r="98" spans="1:7" x14ac:dyDescent="0.2">
      <c r="A98" s="457" t="s">
        <v>522</v>
      </c>
      <c r="B98" s="491" t="s">
        <v>4953</v>
      </c>
      <c r="C98" s="459" t="s">
        <v>4954</v>
      </c>
      <c r="D98" s="468" t="s">
        <v>61</v>
      </c>
      <c r="E98" s="461">
        <f>16*0.45*0.55</f>
        <v>3.9600000000000004</v>
      </c>
      <c r="F98" s="446">
        <f t="shared" si="8"/>
        <v>3.96</v>
      </c>
      <c r="G98" s="462" t="s">
        <v>1194</v>
      </c>
    </row>
    <row r="99" spans="1:7" ht="25.5" x14ac:dyDescent="0.2">
      <c r="A99" s="457" t="s">
        <v>4955</v>
      </c>
      <c r="B99" s="491" t="s">
        <v>4956</v>
      </c>
      <c r="C99" s="459" t="s">
        <v>4957</v>
      </c>
      <c r="D99" s="468" t="s">
        <v>61</v>
      </c>
      <c r="E99" s="461">
        <v>35.04</v>
      </c>
      <c r="F99" s="446">
        <f t="shared" si="8"/>
        <v>35.04</v>
      </c>
      <c r="G99" s="462" t="s">
        <v>1194</v>
      </c>
    </row>
    <row r="100" spans="1:7" x14ac:dyDescent="0.2">
      <c r="A100" s="457" t="s">
        <v>4958</v>
      </c>
      <c r="B100" s="491" t="s">
        <v>4959</v>
      </c>
      <c r="C100" s="459" t="s">
        <v>1201</v>
      </c>
      <c r="D100" s="468" t="s">
        <v>60</v>
      </c>
      <c r="E100" s="461">
        <v>1</v>
      </c>
      <c r="F100" s="446">
        <f>ROUND(E100,2)</f>
        <v>1</v>
      </c>
      <c r="G100" s="462" t="s">
        <v>1194</v>
      </c>
    </row>
    <row r="101" spans="1:7" s="480" customFormat="1" x14ac:dyDescent="0.2">
      <c r="A101" s="474" t="s">
        <v>4960</v>
      </c>
      <c r="B101" s="489" t="s">
        <v>4961</v>
      </c>
      <c r="C101" s="476" t="s">
        <v>4962</v>
      </c>
      <c r="D101" s="477" t="s">
        <v>60</v>
      </c>
      <c r="E101" s="481">
        <v>2</v>
      </c>
      <c r="F101" s="482">
        <f>ROUND(E101,2)</f>
        <v>2</v>
      </c>
      <c r="G101" s="469" t="s">
        <v>1194</v>
      </c>
    </row>
    <row r="102" spans="1:7" x14ac:dyDescent="0.2">
      <c r="A102" s="457" t="s">
        <v>4963</v>
      </c>
      <c r="B102" s="491" t="s">
        <v>4964</v>
      </c>
      <c r="C102" s="459" t="s">
        <v>4965</v>
      </c>
      <c r="D102" s="468" t="s">
        <v>60</v>
      </c>
      <c r="E102" s="461">
        <v>6</v>
      </c>
      <c r="F102" s="446">
        <f t="shared" ref="F102:F103" si="9">E102</f>
        <v>6</v>
      </c>
      <c r="G102" s="462" t="s">
        <v>1194</v>
      </c>
    </row>
    <row r="103" spans="1:7" x14ac:dyDescent="0.2">
      <c r="A103" s="457" t="s">
        <v>4966</v>
      </c>
      <c r="B103" s="491" t="s">
        <v>4967</v>
      </c>
      <c r="C103" s="459" t="s">
        <v>4968</v>
      </c>
      <c r="D103" s="468" t="s">
        <v>60</v>
      </c>
      <c r="E103" s="461">
        <v>6</v>
      </c>
      <c r="F103" s="446">
        <f t="shared" si="9"/>
        <v>6</v>
      </c>
      <c r="G103" s="462" t="s">
        <v>1194</v>
      </c>
    </row>
    <row r="104" spans="1:7" ht="25.5" x14ac:dyDescent="0.2">
      <c r="A104" s="457" t="s">
        <v>4969</v>
      </c>
      <c r="B104" s="491" t="s">
        <v>4970</v>
      </c>
      <c r="C104" s="459" t="s">
        <v>4971</v>
      </c>
      <c r="D104" s="468" t="s">
        <v>63</v>
      </c>
      <c r="E104" s="461">
        <f>32.8+23.4</f>
        <v>56.199999999999996</v>
      </c>
      <c r="F104" s="446"/>
      <c r="G104" s="462" t="s">
        <v>1194</v>
      </c>
    </row>
    <row r="105" spans="1:7" x14ac:dyDescent="0.2">
      <c r="A105" s="457" t="s">
        <v>4972</v>
      </c>
      <c r="B105" s="491" t="s">
        <v>4973</v>
      </c>
      <c r="C105" s="459" t="s">
        <v>4974</v>
      </c>
      <c r="D105" s="468" t="s">
        <v>60</v>
      </c>
      <c r="E105" s="461">
        <v>1</v>
      </c>
      <c r="F105" s="446">
        <f t="shared" ref="F105:F114" si="10">E105</f>
        <v>1</v>
      </c>
      <c r="G105" s="462" t="s">
        <v>1194</v>
      </c>
    </row>
    <row r="106" spans="1:7" s="480" customFormat="1" ht="51" x14ac:dyDescent="0.2">
      <c r="A106" s="474" t="s">
        <v>4975</v>
      </c>
      <c r="B106" s="476" t="s">
        <v>4976</v>
      </c>
      <c r="C106" s="476" t="s">
        <v>4977</v>
      </c>
      <c r="D106" s="477" t="s">
        <v>63</v>
      </c>
      <c r="E106" s="481">
        <f>85.15+61.35+55+46.75+47.95+43.3+55+4.53+4.53+4.71+4.71</f>
        <v>412.9799999999999</v>
      </c>
      <c r="F106" s="482">
        <f t="shared" si="10"/>
        <v>412.9799999999999</v>
      </c>
      <c r="G106" s="469" t="s">
        <v>1194</v>
      </c>
    </row>
    <row r="107" spans="1:7" s="480" customFormat="1" x14ac:dyDescent="0.2">
      <c r="A107" s="474" t="s">
        <v>4978</v>
      </c>
      <c r="B107" s="489" t="s">
        <v>4979</v>
      </c>
      <c r="C107" s="476" t="s">
        <v>4980</v>
      </c>
      <c r="D107" s="477" t="s">
        <v>77</v>
      </c>
      <c r="E107" s="481">
        <f>(4.5*2.55)*3</f>
        <v>34.424999999999997</v>
      </c>
      <c r="F107" s="482">
        <f t="shared" si="10"/>
        <v>34.424999999999997</v>
      </c>
      <c r="G107" s="469" t="s">
        <v>1194</v>
      </c>
    </row>
    <row r="108" spans="1:7" s="480" customFormat="1" x14ac:dyDescent="0.2">
      <c r="A108" s="474" t="s">
        <v>4981</v>
      </c>
      <c r="B108" s="489" t="s">
        <v>4982</v>
      </c>
      <c r="C108" s="492" t="s">
        <v>4983</v>
      </c>
      <c r="D108" s="493" t="s">
        <v>52</v>
      </c>
      <c r="E108" s="481">
        <v>1</v>
      </c>
      <c r="F108" s="482">
        <f t="shared" si="10"/>
        <v>1</v>
      </c>
      <c r="G108" s="469" t="s">
        <v>1194</v>
      </c>
    </row>
    <row r="109" spans="1:7" ht="25.5" x14ac:dyDescent="0.2">
      <c r="A109" s="457" t="s">
        <v>4984</v>
      </c>
      <c r="B109" s="467" t="s">
        <v>4985</v>
      </c>
      <c r="C109" s="467" t="s">
        <v>4986</v>
      </c>
      <c r="D109" s="494" t="s">
        <v>52</v>
      </c>
      <c r="E109" s="461">
        <v>12</v>
      </c>
      <c r="F109" s="446">
        <f t="shared" si="10"/>
        <v>12</v>
      </c>
      <c r="G109" s="462" t="s">
        <v>1194</v>
      </c>
    </row>
    <row r="110" spans="1:7" s="271" customFormat="1" x14ac:dyDescent="0.2">
      <c r="A110" s="457" t="s">
        <v>4987</v>
      </c>
      <c r="B110" s="491" t="s">
        <v>4988</v>
      </c>
      <c r="C110" s="459" t="s">
        <v>4989</v>
      </c>
      <c r="D110" s="468" t="s">
        <v>60</v>
      </c>
      <c r="E110" s="461">
        <v>1</v>
      </c>
      <c r="F110" s="446">
        <f t="shared" si="10"/>
        <v>1</v>
      </c>
      <c r="G110" s="462" t="s">
        <v>1194</v>
      </c>
    </row>
    <row r="111" spans="1:7" x14ac:dyDescent="0.2">
      <c r="A111" s="457" t="s">
        <v>4990</v>
      </c>
      <c r="B111" s="491" t="s">
        <v>4991</v>
      </c>
      <c r="C111" s="459" t="s">
        <v>4992</v>
      </c>
      <c r="D111" s="468" t="s">
        <v>77</v>
      </c>
      <c r="E111" s="461">
        <v>65.77</v>
      </c>
      <c r="F111" s="446">
        <f t="shared" si="10"/>
        <v>65.77</v>
      </c>
      <c r="G111" s="462" t="s">
        <v>1194</v>
      </c>
    </row>
    <row r="112" spans="1:7" s="271" customFormat="1" ht="25.5" x14ac:dyDescent="0.2">
      <c r="A112" s="457" t="s">
        <v>4993</v>
      </c>
      <c r="B112" s="491" t="s">
        <v>4994</v>
      </c>
      <c r="C112" s="459" t="s">
        <v>4995</v>
      </c>
      <c r="D112" s="468" t="s">
        <v>77</v>
      </c>
      <c r="E112" s="461">
        <f>11.016*7</f>
        <v>77.111999999999995</v>
      </c>
      <c r="F112" s="446">
        <f t="shared" si="10"/>
        <v>77.111999999999995</v>
      </c>
      <c r="G112" s="462" t="s">
        <v>1194</v>
      </c>
    </row>
    <row r="113" spans="1:8" s="271" customFormat="1" x14ac:dyDescent="0.2">
      <c r="A113" s="457" t="s">
        <v>4996</v>
      </c>
      <c r="B113" s="491" t="s">
        <v>1220</v>
      </c>
      <c r="C113" s="459" t="s">
        <v>4997</v>
      </c>
      <c r="D113" s="468" t="s">
        <v>60</v>
      </c>
      <c r="E113" s="461">
        <v>1</v>
      </c>
      <c r="F113" s="446">
        <f t="shared" si="10"/>
        <v>1</v>
      </c>
      <c r="G113" s="462" t="s">
        <v>1194</v>
      </c>
    </row>
    <row r="114" spans="1:8" s="271" customFormat="1" x14ac:dyDescent="0.2">
      <c r="A114" s="457" t="s">
        <v>4998</v>
      </c>
      <c r="B114" s="491" t="s">
        <v>4999</v>
      </c>
      <c r="C114" s="459" t="s">
        <v>5000</v>
      </c>
      <c r="D114" s="468" t="s">
        <v>75</v>
      </c>
      <c r="E114" s="461">
        <v>29.7</v>
      </c>
      <c r="F114" s="446">
        <f t="shared" si="10"/>
        <v>29.7</v>
      </c>
      <c r="G114" s="462" t="s">
        <v>1194</v>
      </c>
    </row>
    <row r="115" spans="1:8" s="480" customFormat="1" x14ac:dyDescent="0.2">
      <c r="A115" s="474" t="s">
        <v>5001</v>
      </c>
      <c r="B115" s="489" t="s">
        <v>5002</v>
      </c>
      <c r="C115" s="476" t="s">
        <v>5003</v>
      </c>
      <c r="D115" s="477" t="s">
        <v>60</v>
      </c>
      <c r="E115" s="481">
        <v>30</v>
      </c>
      <c r="F115" s="482">
        <f t="shared" ref="F115" si="11">ROUND(E115,2)</f>
        <v>30</v>
      </c>
      <c r="G115" s="469" t="s">
        <v>1194</v>
      </c>
    </row>
    <row r="116" spans="1:8" s="438" customFormat="1" x14ac:dyDescent="0.2">
      <c r="A116" s="858" t="s">
        <v>95</v>
      </c>
      <c r="B116" s="859"/>
      <c r="C116" s="859"/>
      <c r="D116" s="859"/>
      <c r="E116" s="859"/>
      <c r="F116" s="449"/>
      <c r="G116" s="437"/>
    </row>
    <row r="117" spans="1:8" s="438" customFormat="1" x14ac:dyDescent="0.2">
      <c r="A117" s="439" t="s">
        <v>54</v>
      </c>
      <c r="B117" s="440" t="s">
        <v>55</v>
      </c>
      <c r="C117" s="441" t="s">
        <v>56</v>
      </c>
      <c r="D117" s="440" t="s">
        <v>57</v>
      </c>
      <c r="E117" s="440" t="s">
        <v>58</v>
      </c>
      <c r="F117" s="449"/>
      <c r="G117" s="437"/>
    </row>
    <row r="118" spans="1:8" s="480" customFormat="1" x14ac:dyDescent="0.2">
      <c r="A118" s="474" t="s">
        <v>5004</v>
      </c>
      <c r="B118" s="489" t="s">
        <v>5005</v>
      </c>
      <c r="C118" s="476" t="s">
        <v>5006</v>
      </c>
      <c r="D118" s="477" t="s">
        <v>60</v>
      </c>
      <c r="E118" s="481">
        <v>14</v>
      </c>
      <c r="F118" s="482">
        <f t="shared" ref="F118:F132" si="12">ROUND(E118,2)</f>
        <v>14</v>
      </c>
      <c r="G118" s="469" t="s">
        <v>1194</v>
      </c>
    </row>
    <row r="119" spans="1:8" s="480" customFormat="1" ht="25.5" x14ac:dyDescent="0.2">
      <c r="A119" s="474" t="s">
        <v>5007</v>
      </c>
      <c r="B119" s="476" t="s">
        <v>5008</v>
      </c>
      <c r="C119" s="476" t="s">
        <v>5009</v>
      </c>
      <c r="D119" s="477" t="s">
        <v>60</v>
      </c>
      <c r="E119" s="495">
        <f>27+8</f>
        <v>35</v>
      </c>
      <c r="F119" s="482">
        <f t="shared" si="12"/>
        <v>35</v>
      </c>
      <c r="G119" s="469" t="s">
        <v>1194</v>
      </c>
    </row>
    <row r="120" spans="1:8" s="480" customFormat="1" ht="25.5" x14ac:dyDescent="0.2">
      <c r="A120" s="474" t="s">
        <v>5010</v>
      </c>
      <c r="B120" s="476" t="s">
        <v>5011</v>
      </c>
      <c r="C120" s="476" t="s">
        <v>5009</v>
      </c>
      <c r="D120" s="477" t="s">
        <v>60</v>
      </c>
      <c r="E120" s="495">
        <f>38+12</f>
        <v>50</v>
      </c>
      <c r="F120" s="482">
        <f t="shared" si="12"/>
        <v>50</v>
      </c>
      <c r="G120" s="469" t="s">
        <v>1194</v>
      </c>
    </row>
    <row r="121" spans="1:8" s="480" customFormat="1" x14ac:dyDescent="0.2">
      <c r="A121" s="474" t="s">
        <v>5012</v>
      </c>
      <c r="B121" s="476" t="s">
        <v>5013</v>
      </c>
      <c r="C121" s="476" t="s">
        <v>5014</v>
      </c>
      <c r="D121" s="477" t="s">
        <v>75</v>
      </c>
      <c r="E121" s="495">
        <v>80</v>
      </c>
      <c r="F121" s="482">
        <f t="shared" si="12"/>
        <v>80</v>
      </c>
      <c r="G121" s="469" t="s">
        <v>1194</v>
      </c>
    </row>
    <row r="122" spans="1:8" s="480" customFormat="1" ht="25.5" x14ac:dyDescent="0.2">
      <c r="A122" s="474" t="s">
        <v>5015</v>
      </c>
      <c r="B122" s="476" t="s">
        <v>5016</v>
      </c>
      <c r="C122" s="476" t="s">
        <v>5017</v>
      </c>
      <c r="D122" s="477" t="s">
        <v>63</v>
      </c>
      <c r="E122" s="495">
        <v>175.63</v>
      </c>
      <c r="F122" s="482">
        <f t="shared" si="12"/>
        <v>175.63</v>
      </c>
      <c r="G122" s="469" t="s">
        <v>1194</v>
      </c>
    </row>
    <row r="123" spans="1:8" s="480" customFormat="1" ht="25.5" x14ac:dyDescent="0.2">
      <c r="A123" s="474" t="s">
        <v>5018</v>
      </c>
      <c r="B123" s="476" t="s">
        <v>5019</v>
      </c>
      <c r="C123" s="476" t="s">
        <v>5017</v>
      </c>
      <c r="D123" s="477" t="s">
        <v>63</v>
      </c>
      <c r="E123" s="495">
        <v>175.63</v>
      </c>
      <c r="F123" s="482">
        <f t="shared" si="12"/>
        <v>175.63</v>
      </c>
      <c r="G123" s="469" t="s">
        <v>1194</v>
      </c>
    </row>
    <row r="124" spans="1:8" s="480" customFormat="1" x14ac:dyDescent="0.2">
      <c r="A124" s="474" t="s">
        <v>5020</v>
      </c>
      <c r="B124" s="476" t="s">
        <v>5021</v>
      </c>
      <c r="C124" s="476" t="s">
        <v>5022</v>
      </c>
      <c r="D124" s="477" t="s">
        <v>77</v>
      </c>
      <c r="E124" s="495">
        <f>75.72*1.2</f>
        <v>90.86399999999999</v>
      </c>
      <c r="F124" s="482"/>
      <c r="G124" s="469" t="s">
        <v>1194</v>
      </c>
      <c r="H124" s="480">
        <f>23.78+27.46+5.2+4.21+5.5+7.41+2.16</f>
        <v>75.72</v>
      </c>
    </row>
    <row r="125" spans="1:8" s="480" customFormat="1" x14ac:dyDescent="0.2">
      <c r="A125" s="474" t="s">
        <v>5023</v>
      </c>
      <c r="B125" s="476" t="s">
        <v>5024</v>
      </c>
      <c r="C125" s="476" t="s">
        <v>5025</v>
      </c>
      <c r="D125" s="477" t="s">
        <v>77</v>
      </c>
      <c r="E125" s="495">
        <f>E124*3</f>
        <v>272.59199999999998</v>
      </c>
      <c r="F125" s="482"/>
      <c r="G125" s="469" t="s">
        <v>1194</v>
      </c>
    </row>
    <row r="126" spans="1:8" s="480" customFormat="1" x14ac:dyDescent="0.2">
      <c r="A126" s="474" t="s">
        <v>5026</v>
      </c>
      <c r="B126" s="476" t="s">
        <v>5027</v>
      </c>
      <c r="C126" s="476" t="s">
        <v>5028</v>
      </c>
      <c r="D126" s="477" t="s">
        <v>60</v>
      </c>
      <c r="E126" s="495">
        <v>14</v>
      </c>
      <c r="F126" s="482">
        <f t="shared" si="12"/>
        <v>14</v>
      </c>
      <c r="G126" s="469" t="s">
        <v>1194</v>
      </c>
    </row>
    <row r="127" spans="1:8" s="480" customFormat="1" x14ac:dyDescent="0.2">
      <c r="A127" s="474" t="s">
        <v>5029</v>
      </c>
      <c r="B127" s="489" t="s">
        <v>5030</v>
      </c>
      <c r="C127" s="476" t="s">
        <v>5031</v>
      </c>
      <c r="D127" s="477" t="s">
        <v>60</v>
      </c>
      <c r="E127" s="481">
        <v>1</v>
      </c>
      <c r="F127" s="482">
        <f t="shared" si="12"/>
        <v>1</v>
      </c>
      <c r="G127" s="469" t="s">
        <v>1194</v>
      </c>
    </row>
    <row r="128" spans="1:8" s="480" customFormat="1" x14ac:dyDescent="0.2">
      <c r="A128" s="474" t="s">
        <v>5032</v>
      </c>
      <c r="B128" s="489" t="s">
        <v>5033</v>
      </c>
      <c r="C128" s="476" t="s">
        <v>5034</v>
      </c>
      <c r="D128" s="495" t="s">
        <v>77</v>
      </c>
      <c r="E128" s="495">
        <f>371*0.25*0.25</f>
        <v>23.1875</v>
      </c>
      <c r="F128" s="482">
        <f t="shared" si="12"/>
        <v>23.19</v>
      </c>
      <c r="G128" s="469" t="s">
        <v>1194</v>
      </c>
    </row>
    <row r="129" spans="1:8" s="480" customFormat="1" x14ac:dyDescent="0.2">
      <c r="A129" s="474" t="s">
        <v>5035</v>
      </c>
      <c r="B129" s="489" t="s">
        <v>5036</v>
      </c>
      <c r="C129" s="476" t="s">
        <v>5037</v>
      </c>
      <c r="D129" s="495" t="s">
        <v>77</v>
      </c>
      <c r="E129" s="495">
        <f>1672*0.25*0.25</f>
        <v>104.5</v>
      </c>
      <c r="F129" s="482">
        <f t="shared" si="12"/>
        <v>104.5</v>
      </c>
      <c r="G129" s="469" t="s">
        <v>1194</v>
      </c>
    </row>
    <row r="130" spans="1:8" s="480" customFormat="1" ht="38.25" x14ac:dyDescent="0.2">
      <c r="A130" s="474" t="s">
        <v>5038</v>
      </c>
      <c r="B130" s="476" t="s">
        <v>5039</v>
      </c>
      <c r="C130" s="476" t="s">
        <v>5040</v>
      </c>
      <c r="D130" s="495" t="s">
        <v>77</v>
      </c>
      <c r="E130" s="495">
        <f>(499+185)*0.25*0.25</f>
        <v>42.75</v>
      </c>
      <c r="F130" s="482">
        <f t="shared" si="12"/>
        <v>42.75</v>
      </c>
      <c r="G130" s="469" t="s">
        <v>1194</v>
      </c>
    </row>
    <row r="131" spans="1:8" x14ac:dyDescent="0.2">
      <c r="A131" s="457" t="s">
        <v>5041</v>
      </c>
      <c r="B131" s="491" t="s">
        <v>5042</v>
      </c>
      <c r="C131" s="459" t="s">
        <v>5043</v>
      </c>
      <c r="D131" s="496" t="s">
        <v>77</v>
      </c>
      <c r="E131" s="496">
        <f>1.7*1.7*2</f>
        <v>5.7799999999999994</v>
      </c>
      <c r="F131" s="446">
        <f t="shared" si="12"/>
        <v>5.78</v>
      </c>
      <c r="G131" s="462" t="s">
        <v>1194</v>
      </c>
    </row>
    <row r="132" spans="1:8" x14ac:dyDescent="0.2">
      <c r="A132" s="457" t="s">
        <v>5044</v>
      </c>
      <c r="B132" s="491" t="s">
        <v>5045</v>
      </c>
      <c r="C132" s="459" t="s">
        <v>5046</v>
      </c>
      <c r="D132" s="496" t="s">
        <v>77</v>
      </c>
      <c r="E132" s="496">
        <f>4*1.2*0.8</f>
        <v>3.84</v>
      </c>
      <c r="F132" s="446">
        <f t="shared" si="12"/>
        <v>3.84</v>
      </c>
      <c r="G132" s="462" t="s">
        <v>1194</v>
      </c>
    </row>
    <row r="133" spans="1:8" s="462" customFormat="1" ht="12.75" customHeight="1" x14ac:dyDescent="0.25">
      <c r="A133" s="860" t="s">
        <v>106</v>
      </c>
      <c r="B133" s="861"/>
      <c r="C133" s="861"/>
      <c r="D133" s="861"/>
      <c r="E133" s="861"/>
      <c r="F133" s="862"/>
      <c r="G133" s="497"/>
    </row>
    <row r="134" spans="1:8" s="462" customFormat="1" x14ac:dyDescent="0.25">
      <c r="A134" s="439" t="s">
        <v>54</v>
      </c>
      <c r="B134" s="440" t="s">
        <v>55</v>
      </c>
      <c r="C134" s="441" t="s">
        <v>56</v>
      </c>
      <c r="D134" s="440" t="s">
        <v>57</v>
      </c>
      <c r="E134" s="440" t="s">
        <v>58</v>
      </c>
      <c r="F134" s="449"/>
      <c r="G134" s="497"/>
    </row>
    <row r="135" spans="1:8" s="499" customFormat="1" ht="38.25" x14ac:dyDescent="0.25">
      <c r="A135" s="474" t="s">
        <v>5047</v>
      </c>
      <c r="B135" s="475" t="s">
        <v>1231</v>
      </c>
      <c r="C135" s="492" t="s">
        <v>5048</v>
      </c>
      <c r="D135" s="495" t="s">
        <v>60</v>
      </c>
      <c r="E135" s="481">
        <v>2</v>
      </c>
      <c r="F135" s="498">
        <f t="shared" ref="F135:F144" si="13">ROUND(E135,2)</f>
        <v>2</v>
      </c>
      <c r="G135" s="469" t="s">
        <v>1194</v>
      </c>
    </row>
    <row r="136" spans="1:8" s="499" customFormat="1" ht="51" x14ac:dyDescent="0.25">
      <c r="A136" s="474" t="s">
        <v>5049</v>
      </c>
      <c r="B136" s="475" t="s">
        <v>5050</v>
      </c>
      <c r="C136" s="492" t="s">
        <v>5051</v>
      </c>
      <c r="D136" s="477" t="s">
        <v>153</v>
      </c>
      <c r="E136" s="481">
        <f>(E139)*0.8*0.4</f>
        <v>21.689600000000002</v>
      </c>
      <c r="F136" s="498">
        <f t="shared" si="13"/>
        <v>21.69</v>
      </c>
      <c r="G136" s="499" t="s">
        <v>1194</v>
      </c>
    </row>
    <row r="137" spans="1:8" s="499" customFormat="1" x14ac:dyDescent="0.25">
      <c r="A137" s="474" t="s">
        <v>5052</v>
      </c>
      <c r="B137" s="475" t="s">
        <v>5053</v>
      </c>
      <c r="C137" s="492" t="s">
        <v>1233</v>
      </c>
      <c r="D137" s="477" t="s">
        <v>153</v>
      </c>
      <c r="E137" s="481">
        <f>E136*0.8</f>
        <v>17.351680000000002</v>
      </c>
      <c r="F137" s="498">
        <f t="shared" si="13"/>
        <v>17.350000000000001</v>
      </c>
      <c r="G137" s="499" t="s">
        <v>1194</v>
      </c>
      <c r="H137" s="500"/>
    </row>
    <row r="138" spans="1:8" s="499" customFormat="1" ht="25.5" x14ac:dyDescent="0.25">
      <c r="A138" s="474" t="s">
        <v>5054</v>
      </c>
      <c r="B138" s="492" t="s">
        <v>1236</v>
      </c>
      <c r="C138" s="492" t="s">
        <v>5055</v>
      </c>
      <c r="D138" s="477" t="s">
        <v>77</v>
      </c>
      <c r="E138" s="481">
        <f>(E139+E140)*0.06</f>
        <v>5.8667999999999996</v>
      </c>
      <c r="F138" s="498">
        <f t="shared" si="13"/>
        <v>5.87</v>
      </c>
      <c r="G138" s="499" t="s">
        <v>1194</v>
      </c>
    </row>
    <row r="139" spans="1:8" s="499" customFormat="1" ht="63.75" x14ac:dyDescent="0.25">
      <c r="A139" s="474" t="s">
        <v>5056</v>
      </c>
      <c r="B139" s="492" t="s">
        <v>5057</v>
      </c>
      <c r="C139" s="492" t="s">
        <v>5058</v>
      </c>
      <c r="D139" s="477" t="s">
        <v>63</v>
      </c>
      <c r="E139" s="481">
        <f>21.51+46.27</f>
        <v>67.78</v>
      </c>
      <c r="F139" s="498">
        <f t="shared" si="13"/>
        <v>67.78</v>
      </c>
      <c r="G139" s="499" t="s">
        <v>1194</v>
      </c>
    </row>
    <row r="140" spans="1:8" s="499" customFormat="1" ht="25.5" x14ac:dyDescent="0.25">
      <c r="A140" s="474" t="s">
        <v>5059</v>
      </c>
      <c r="B140" s="492" t="s">
        <v>5060</v>
      </c>
      <c r="C140" s="492" t="s">
        <v>5061</v>
      </c>
      <c r="D140" s="477" t="s">
        <v>63</v>
      </c>
      <c r="E140" s="481">
        <v>30</v>
      </c>
      <c r="F140" s="498">
        <f t="shared" si="13"/>
        <v>30</v>
      </c>
      <c r="G140" s="499" t="s">
        <v>1194</v>
      </c>
    </row>
    <row r="141" spans="1:8" s="499" customFormat="1" ht="25.5" x14ac:dyDescent="0.25">
      <c r="A141" s="474" t="s">
        <v>5062</v>
      </c>
      <c r="B141" s="492" t="s">
        <v>5063</v>
      </c>
      <c r="C141" s="492" t="s">
        <v>5064</v>
      </c>
      <c r="D141" s="495" t="s">
        <v>60</v>
      </c>
      <c r="E141" s="481">
        <f>10+3</f>
        <v>13</v>
      </c>
      <c r="F141" s="498">
        <f t="shared" si="13"/>
        <v>13</v>
      </c>
      <c r="G141" s="499" t="s">
        <v>1194</v>
      </c>
    </row>
    <row r="142" spans="1:8" s="499" customFormat="1" x14ac:dyDescent="0.25">
      <c r="A142" s="474" t="s">
        <v>5065</v>
      </c>
      <c r="B142" s="492" t="s">
        <v>5066</v>
      </c>
      <c r="C142" s="492" t="s">
        <v>5067</v>
      </c>
      <c r="D142" s="495" t="s">
        <v>60</v>
      </c>
      <c r="E142" s="481">
        <v>3</v>
      </c>
      <c r="F142" s="498">
        <f t="shared" si="13"/>
        <v>3</v>
      </c>
      <c r="G142" s="499" t="s">
        <v>1194</v>
      </c>
    </row>
    <row r="143" spans="1:8" s="499" customFormat="1" x14ac:dyDescent="0.25">
      <c r="A143" s="474" t="s">
        <v>5068</v>
      </c>
      <c r="B143" s="492" t="s">
        <v>5069</v>
      </c>
      <c r="C143" s="492" t="s">
        <v>5070</v>
      </c>
      <c r="D143" s="495" t="s">
        <v>60</v>
      </c>
      <c r="E143" s="481">
        <f>9*3</f>
        <v>27</v>
      </c>
      <c r="F143" s="498">
        <f t="shared" si="13"/>
        <v>27</v>
      </c>
      <c r="G143" s="499" t="s">
        <v>1194</v>
      </c>
    </row>
    <row r="144" spans="1:8" s="499" customFormat="1" x14ac:dyDescent="0.25">
      <c r="A144" s="474" t="s">
        <v>5071</v>
      </c>
      <c r="B144" s="492" t="s">
        <v>5072</v>
      </c>
      <c r="C144" s="492" t="s">
        <v>5070</v>
      </c>
      <c r="D144" s="495" t="s">
        <v>60</v>
      </c>
      <c r="E144" s="481">
        <v>9</v>
      </c>
      <c r="F144" s="498">
        <f t="shared" si="13"/>
        <v>9</v>
      </c>
      <c r="G144" s="499" t="s">
        <v>1194</v>
      </c>
    </row>
    <row r="145" spans="1:7" s="499" customFormat="1" x14ac:dyDescent="0.25">
      <c r="A145" s="474" t="s">
        <v>5073</v>
      </c>
      <c r="B145" s="492" t="s">
        <v>1234</v>
      </c>
      <c r="C145" s="492"/>
      <c r="D145" s="495" t="s">
        <v>1175</v>
      </c>
      <c r="E145" s="481">
        <v>5</v>
      </c>
      <c r="F145" s="498"/>
      <c r="G145" s="499" t="s">
        <v>1194</v>
      </c>
    </row>
    <row r="146" spans="1:7" s="499" customFormat="1" x14ac:dyDescent="0.25">
      <c r="A146" s="474" t="s">
        <v>5074</v>
      </c>
      <c r="B146" s="492" t="s">
        <v>5075</v>
      </c>
      <c r="C146" s="492"/>
      <c r="D146" s="495" t="s">
        <v>1175</v>
      </c>
      <c r="E146" s="481">
        <v>5</v>
      </c>
      <c r="F146" s="498"/>
      <c r="G146" s="499" t="s">
        <v>1194</v>
      </c>
    </row>
    <row r="147" spans="1:7" s="499" customFormat="1" x14ac:dyDescent="0.25">
      <c r="A147" s="474" t="s">
        <v>5076</v>
      </c>
      <c r="B147" s="492" t="s">
        <v>1235</v>
      </c>
      <c r="C147" s="492"/>
      <c r="D147" s="495" t="s">
        <v>1175</v>
      </c>
      <c r="E147" s="481">
        <v>1</v>
      </c>
      <c r="F147" s="498"/>
      <c r="G147" s="499" t="s">
        <v>1194</v>
      </c>
    </row>
    <row r="148" spans="1:7" s="499" customFormat="1" x14ac:dyDescent="0.25">
      <c r="A148" s="474" t="s">
        <v>5077</v>
      </c>
      <c r="B148" s="492" t="s">
        <v>5078</v>
      </c>
      <c r="C148" s="492"/>
      <c r="D148" s="495" t="s">
        <v>1175</v>
      </c>
      <c r="E148" s="481">
        <v>2</v>
      </c>
      <c r="F148" s="498"/>
      <c r="G148" s="499" t="s">
        <v>1194</v>
      </c>
    </row>
    <row r="149" spans="1:7" s="499" customFormat="1" x14ac:dyDescent="0.25">
      <c r="A149" s="474" t="s">
        <v>5079</v>
      </c>
      <c r="B149" s="492" t="s">
        <v>1237</v>
      </c>
      <c r="C149" s="492" t="s">
        <v>5080</v>
      </c>
      <c r="D149" s="495" t="s">
        <v>1175</v>
      </c>
      <c r="E149" s="481">
        <v>11</v>
      </c>
      <c r="F149" s="498"/>
      <c r="G149" s="499" t="s">
        <v>1194</v>
      </c>
    </row>
    <row r="150" spans="1:7" s="438" customFormat="1" x14ac:dyDescent="0.2">
      <c r="A150" s="863" t="s">
        <v>1226</v>
      </c>
      <c r="B150" s="864"/>
      <c r="C150" s="865"/>
      <c r="D150" s="865"/>
      <c r="E150" s="865"/>
      <c r="F150" s="449"/>
      <c r="G150" s="501"/>
    </row>
    <row r="151" spans="1:7" s="438" customFormat="1" x14ac:dyDescent="0.2">
      <c r="A151" s="439" t="s">
        <v>54</v>
      </c>
      <c r="B151" s="440" t="s">
        <v>55</v>
      </c>
      <c r="C151" s="441" t="s">
        <v>56</v>
      </c>
      <c r="D151" s="440" t="s">
        <v>57</v>
      </c>
      <c r="E151" s="440" t="s">
        <v>58</v>
      </c>
      <c r="F151" s="449"/>
      <c r="G151" s="437"/>
    </row>
    <row r="152" spans="1:7" x14ac:dyDescent="0.2">
      <c r="A152" s="457" t="s">
        <v>5081</v>
      </c>
      <c r="B152" s="458" t="s">
        <v>1227</v>
      </c>
      <c r="C152" s="459" t="s">
        <v>5082</v>
      </c>
      <c r="D152" s="468" t="s">
        <v>9</v>
      </c>
      <c r="E152" s="502">
        <f>E33+E34+E35+E36+E37+E38+E39</f>
        <v>241.78999999999996</v>
      </c>
      <c r="F152" s="503">
        <f t="shared" ref="F152:F153" si="14">ROUND(E152,2)</f>
        <v>241.79</v>
      </c>
      <c r="G152" s="462" t="s">
        <v>1194</v>
      </c>
    </row>
    <row r="153" spans="1:7" x14ac:dyDescent="0.2">
      <c r="A153" s="457" t="s">
        <v>5083</v>
      </c>
      <c r="B153" s="458" t="s">
        <v>1229</v>
      </c>
      <c r="C153" s="459" t="s">
        <v>1230</v>
      </c>
      <c r="D153" s="468" t="s">
        <v>9</v>
      </c>
      <c r="E153" s="461">
        <f>E57+E58+E59+E60</f>
        <v>1708.3</v>
      </c>
      <c r="F153" s="503">
        <f t="shared" si="14"/>
        <v>1708.3</v>
      </c>
      <c r="G153" s="462" t="s">
        <v>1194</v>
      </c>
    </row>
    <row r="154" spans="1:7" ht="77.25" thickBot="1" x14ac:dyDescent="0.25">
      <c r="A154" s="504" t="s">
        <v>5084</v>
      </c>
      <c r="B154" s="505" t="s">
        <v>1209</v>
      </c>
      <c r="C154" s="506" t="s">
        <v>5085</v>
      </c>
      <c r="D154" s="507" t="s">
        <v>9</v>
      </c>
      <c r="E154" s="508">
        <f>F9</f>
        <v>4910.01</v>
      </c>
      <c r="F154" s="509">
        <f>F9</f>
        <v>4910.01</v>
      </c>
      <c r="G154" s="462" t="s">
        <v>1194</v>
      </c>
    </row>
    <row r="155" spans="1:7" x14ac:dyDescent="0.2">
      <c r="F155" s="511"/>
    </row>
    <row r="156" spans="1:7" x14ac:dyDescent="0.2">
      <c r="B156" s="512"/>
      <c r="C156" s="513"/>
      <c r="D156" s="512"/>
      <c r="E156" s="514"/>
      <c r="F156" s="511"/>
    </row>
    <row r="157" spans="1:7" x14ac:dyDescent="0.2">
      <c r="B157" s="512"/>
      <c r="C157" s="515"/>
      <c r="D157" s="512"/>
      <c r="E157" s="514"/>
      <c r="F157" s="511"/>
    </row>
    <row r="158" spans="1:7" x14ac:dyDescent="0.2">
      <c r="B158" s="512"/>
      <c r="C158" s="516"/>
      <c r="D158" s="512"/>
      <c r="E158" s="514"/>
      <c r="F158" s="511"/>
    </row>
    <row r="159" spans="1:7" x14ac:dyDescent="0.2">
      <c r="B159" s="188"/>
      <c r="C159" s="188"/>
      <c r="D159" s="188"/>
      <c r="E159" s="191"/>
      <c r="F159" s="511"/>
    </row>
    <row r="160" spans="1:7" x14ac:dyDescent="0.2">
      <c r="F160" s="511"/>
    </row>
    <row r="161" spans="2:8" x14ac:dyDescent="0.2">
      <c r="F161" s="511"/>
    </row>
    <row r="162" spans="2:8" x14ac:dyDescent="0.2">
      <c r="B162" s="448"/>
      <c r="C162" s="448"/>
      <c r="D162" s="448"/>
      <c r="E162" s="517"/>
      <c r="F162" s="511"/>
    </row>
    <row r="163" spans="2:8" x14ac:dyDescent="0.2">
      <c r="B163" s="448"/>
      <c r="C163" s="518"/>
      <c r="D163" s="519"/>
      <c r="E163" s="520"/>
      <c r="F163" s="511"/>
    </row>
    <row r="164" spans="2:8" x14ac:dyDescent="0.2">
      <c r="B164" s="448"/>
      <c r="C164" s="521"/>
      <c r="D164" s="511"/>
      <c r="E164" s="522"/>
      <c r="F164" s="511"/>
    </row>
    <row r="165" spans="2:8" x14ac:dyDescent="0.2">
      <c r="B165" s="448"/>
      <c r="C165" s="521"/>
      <c r="D165" s="511"/>
      <c r="E165" s="522"/>
      <c r="F165" s="511"/>
      <c r="H165" s="511"/>
    </row>
    <row r="166" spans="2:8" x14ac:dyDescent="0.2">
      <c r="B166" s="448"/>
      <c r="C166" s="521"/>
      <c r="D166" s="511"/>
      <c r="E166" s="522"/>
      <c r="F166" s="511"/>
      <c r="H166" s="511"/>
    </row>
    <row r="167" spans="2:8" x14ac:dyDescent="0.2">
      <c r="B167" s="448"/>
      <c r="C167" s="521"/>
      <c r="D167" s="511"/>
      <c r="E167" s="522"/>
      <c r="F167" s="511"/>
      <c r="H167" s="511"/>
    </row>
    <row r="168" spans="2:8" x14ac:dyDescent="0.2">
      <c r="B168" s="448"/>
      <c r="C168" s="521"/>
      <c r="D168" s="511"/>
      <c r="E168" s="522"/>
      <c r="F168" s="511"/>
      <c r="H168" s="511"/>
    </row>
    <row r="169" spans="2:8" x14ac:dyDescent="0.2">
      <c r="B169" s="448"/>
      <c r="C169" s="521"/>
      <c r="D169" s="511"/>
      <c r="E169" s="522"/>
      <c r="F169" s="511"/>
      <c r="H169" s="511"/>
    </row>
    <row r="170" spans="2:8" x14ac:dyDescent="0.2">
      <c r="B170" s="448"/>
      <c r="C170" s="521"/>
      <c r="D170" s="511"/>
      <c r="E170" s="522"/>
      <c r="F170" s="511"/>
      <c r="G170" s="523"/>
      <c r="H170" s="511"/>
    </row>
    <row r="171" spans="2:8" x14ac:dyDescent="0.2">
      <c r="B171" s="448"/>
      <c r="C171" s="521"/>
      <c r="D171" s="511"/>
      <c r="E171" s="522"/>
      <c r="F171" s="511"/>
      <c r="G171" s="523"/>
    </row>
    <row r="172" spans="2:8" x14ac:dyDescent="0.2">
      <c r="B172" s="448"/>
      <c r="C172" s="521"/>
      <c r="D172" s="511"/>
      <c r="E172" s="522"/>
      <c r="F172" s="511"/>
      <c r="H172" s="511"/>
    </row>
    <row r="173" spans="2:8" x14ac:dyDescent="0.2">
      <c r="B173" s="448"/>
      <c r="C173" s="521"/>
      <c r="D173" s="511"/>
      <c r="E173" s="522"/>
      <c r="F173" s="511"/>
    </row>
    <row r="174" spans="2:8" x14ac:dyDescent="0.2">
      <c r="B174" s="448"/>
      <c r="C174" s="521"/>
      <c r="D174" s="511"/>
      <c r="E174" s="522"/>
      <c r="F174" s="511"/>
    </row>
    <row r="175" spans="2:8" x14ac:dyDescent="0.2">
      <c r="B175" s="448"/>
      <c r="C175" s="521"/>
      <c r="D175" s="511"/>
      <c r="E175" s="522"/>
      <c r="F175" s="511"/>
    </row>
    <row r="176" spans="2:8" x14ac:dyDescent="0.2">
      <c r="B176" s="448"/>
      <c r="C176" s="521"/>
      <c r="D176" s="511"/>
      <c r="E176" s="522"/>
      <c r="F176" s="511"/>
      <c r="H176" s="511"/>
    </row>
    <row r="177" spans="2:8" x14ac:dyDescent="0.2">
      <c r="B177" s="448"/>
      <c r="C177" s="521"/>
      <c r="D177" s="511"/>
      <c r="E177" s="522"/>
      <c r="F177" s="511"/>
    </row>
    <row r="178" spans="2:8" x14ac:dyDescent="0.2">
      <c r="B178" s="448"/>
      <c r="C178" s="521"/>
      <c r="D178" s="511"/>
      <c r="E178" s="522"/>
      <c r="F178" s="511"/>
    </row>
    <row r="179" spans="2:8" x14ac:dyDescent="0.2">
      <c r="B179" s="448"/>
      <c r="C179" s="521"/>
      <c r="D179" s="511"/>
      <c r="E179" s="522"/>
      <c r="F179" s="511"/>
    </row>
    <row r="180" spans="2:8" x14ac:dyDescent="0.2">
      <c r="B180" s="448"/>
      <c r="C180" s="521"/>
      <c r="D180" s="511"/>
      <c r="E180" s="522"/>
      <c r="F180" s="511"/>
    </row>
    <row r="181" spans="2:8" x14ac:dyDescent="0.2">
      <c r="B181" s="448"/>
      <c r="C181" s="521"/>
      <c r="D181" s="511"/>
      <c r="E181" s="522"/>
      <c r="F181" s="511"/>
    </row>
    <row r="182" spans="2:8" x14ac:dyDescent="0.2">
      <c r="B182" s="448"/>
      <c r="C182" s="521"/>
      <c r="D182" s="511"/>
      <c r="E182" s="522"/>
      <c r="F182" s="511"/>
    </row>
    <row r="183" spans="2:8" x14ac:dyDescent="0.2">
      <c r="B183" s="448"/>
      <c r="C183" s="521"/>
      <c r="D183" s="511"/>
      <c r="E183" s="522"/>
      <c r="F183" s="511"/>
      <c r="G183" s="511"/>
    </row>
    <row r="184" spans="2:8" x14ac:dyDescent="0.2">
      <c r="B184" s="448"/>
      <c r="C184" s="521"/>
      <c r="D184" s="511"/>
      <c r="E184" s="522"/>
      <c r="F184" s="511"/>
    </row>
    <row r="185" spans="2:8" x14ac:dyDescent="0.2">
      <c r="B185" s="448"/>
      <c r="C185" s="521"/>
      <c r="D185" s="511"/>
      <c r="E185" s="522"/>
      <c r="F185" s="511"/>
    </row>
    <row r="186" spans="2:8" x14ac:dyDescent="0.2">
      <c r="B186" s="448"/>
      <c r="C186" s="518"/>
      <c r="D186" s="519"/>
      <c r="E186" s="520"/>
      <c r="F186" s="511"/>
    </row>
    <row r="187" spans="2:8" x14ac:dyDescent="0.2">
      <c r="B187" s="448"/>
      <c r="C187" s="521"/>
      <c r="D187" s="511"/>
      <c r="E187" s="522"/>
      <c r="F187" s="511"/>
      <c r="H187" s="511"/>
    </row>
    <row r="188" spans="2:8" x14ac:dyDescent="0.2">
      <c r="B188" s="448"/>
      <c r="C188" s="521"/>
      <c r="D188" s="511"/>
      <c r="E188" s="522"/>
      <c r="F188" s="511"/>
      <c r="H188" s="511"/>
    </row>
    <row r="189" spans="2:8" x14ac:dyDescent="0.2">
      <c r="B189" s="448"/>
      <c r="C189" s="521"/>
      <c r="D189" s="511"/>
      <c r="E189" s="522"/>
      <c r="F189" s="511"/>
    </row>
    <row r="190" spans="2:8" x14ac:dyDescent="0.2">
      <c r="C190" s="524"/>
      <c r="D190" s="525"/>
      <c r="E190" s="526"/>
      <c r="F190" s="511"/>
    </row>
    <row r="191" spans="2:8" x14ac:dyDescent="0.2">
      <c r="C191" s="524"/>
      <c r="D191" s="525"/>
      <c r="E191" s="526"/>
      <c r="F191" s="511"/>
    </row>
    <row r="192" spans="2:8" x14ac:dyDescent="0.2">
      <c r="C192" s="524"/>
      <c r="D192" s="525"/>
      <c r="E192" s="526"/>
      <c r="F192" s="511"/>
    </row>
    <row r="193" spans="2:7" x14ac:dyDescent="0.2">
      <c r="C193" s="524"/>
      <c r="D193" s="525"/>
      <c r="E193" s="526"/>
      <c r="F193" s="511"/>
    </row>
    <row r="194" spans="2:7" x14ac:dyDescent="0.2">
      <c r="C194" s="524"/>
      <c r="D194" s="525"/>
      <c r="E194" s="526"/>
      <c r="F194" s="511"/>
    </row>
    <row r="195" spans="2:7" x14ac:dyDescent="0.2">
      <c r="B195" s="448"/>
      <c r="C195" s="521"/>
      <c r="D195" s="511"/>
      <c r="E195" s="522"/>
      <c r="F195" s="511"/>
    </row>
    <row r="196" spans="2:7" x14ac:dyDescent="0.2">
      <c r="B196" s="448"/>
      <c r="C196" s="521"/>
      <c r="D196" s="511"/>
      <c r="E196" s="522"/>
      <c r="F196" s="511"/>
    </row>
    <row r="197" spans="2:7" x14ac:dyDescent="0.2">
      <c r="B197" s="448"/>
      <c r="C197" s="521"/>
      <c r="D197" s="511"/>
      <c r="E197" s="522"/>
      <c r="F197" s="511"/>
    </row>
    <row r="198" spans="2:7" x14ac:dyDescent="0.2">
      <c r="B198" s="448"/>
      <c r="C198" s="521"/>
      <c r="D198" s="511"/>
      <c r="E198" s="522"/>
      <c r="F198" s="511"/>
    </row>
    <row r="199" spans="2:7" x14ac:dyDescent="0.2">
      <c r="B199" s="448"/>
      <c r="C199" s="521"/>
      <c r="D199" s="511"/>
      <c r="E199" s="522"/>
      <c r="F199" s="511"/>
    </row>
    <row r="200" spans="2:7" x14ac:dyDescent="0.2">
      <c r="B200" s="448"/>
      <c r="C200" s="521"/>
      <c r="D200" s="511"/>
      <c r="E200" s="522"/>
      <c r="F200" s="511"/>
    </row>
    <row r="201" spans="2:7" x14ac:dyDescent="0.2">
      <c r="B201" s="448"/>
      <c r="C201" s="521"/>
      <c r="D201" s="511"/>
      <c r="E201" s="522"/>
      <c r="F201" s="511"/>
    </row>
    <row r="202" spans="2:7" x14ac:dyDescent="0.2">
      <c r="B202" s="448"/>
      <c r="C202" s="521"/>
      <c r="D202" s="511"/>
      <c r="E202" s="522"/>
      <c r="F202" s="511"/>
      <c r="G202" s="511"/>
    </row>
    <row r="203" spans="2:7" x14ac:dyDescent="0.2">
      <c r="B203" s="448"/>
      <c r="C203" s="521"/>
      <c r="D203" s="511"/>
      <c r="E203" s="522"/>
      <c r="F203" s="511"/>
    </row>
    <row r="204" spans="2:7" x14ac:dyDescent="0.2">
      <c r="B204" s="448"/>
      <c r="C204" s="521"/>
      <c r="D204" s="448"/>
      <c r="E204" s="517"/>
      <c r="F204" s="511"/>
    </row>
    <row r="205" spans="2:7" x14ac:dyDescent="0.2">
      <c r="B205" s="448"/>
      <c r="C205" s="518"/>
      <c r="D205" s="519"/>
      <c r="E205" s="520"/>
      <c r="F205" s="511"/>
    </row>
    <row r="206" spans="2:7" x14ac:dyDescent="0.2">
      <c r="B206" s="448"/>
      <c r="C206" s="521"/>
      <c r="D206" s="511"/>
      <c r="E206" s="522"/>
      <c r="F206" s="511"/>
    </row>
    <row r="207" spans="2:7" x14ac:dyDescent="0.2">
      <c r="B207" s="448"/>
      <c r="C207" s="521"/>
      <c r="D207" s="511"/>
      <c r="E207" s="522"/>
      <c r="F207" s="511"/>
    </row>
    <row r="208" spans="2:7" x14ac:dyDescent="0.2">
      <c r="B208" s="448"/>
      <c r="C208" s="521"/>
      <c r="D208" s="511"/>
      <c r="E208" s="522"/>
      <c r="F208" s="511"/>
    </row>
    <row r="209" spans="2:8" x14ac:dyDescent="0.2">
      <c r="B209" s="448"/>
      <c r="C209" s="521"/>
      <c r="D209" s="511"/>
      <c r="E209" s="522"/>
      <c r="F209" s="511"/>
    </row>
    <row r="210" spans="2:8" x14ac:dyDescent="0.2">
      <c r="B210" s="448"/>
      <c r="C210" s="521"/>
      <c r="D210" s="511"/>
      <c r="E210" s="522"/>
      <c r="F210" s="511"/>
    </row>
    <row r="211" spans="2:8" x14ac:dyDescent="0.2">
      <c r="B211" s="448"/>
      <c r="C211" s="521"/>
      <c r="D211" s="511"/>
      <c r="E211" s="522"/>
      <c r="F211" s="511"/>
    </row>
    <row r="212" spans="2:8" x14ac:dyDescent="0.2">
      <c r="B212" s="448"/>
      <c r="C212" s="521"/>
      <c r="D212" s="511"/>
      <c r="E212" s="522"/>
      <c r="F212" s="511"/>
    </row>
    <row r="213" spans="2:8" x14ac:dyDescent="0.2">
      <c r="B213" s="448"/>
      <c r="C213" s="521"/>
      <c r="D213" s="511"/>
      <c r="E213" s="522"/>
      <c r="F213" s="511"/>
    </row>
    <row r="214" spans="2:8" x14ac:dyDescent="0.2">
      <c r="B214" s="448"/>
      <c r="C214" s="521"/>
      <c r="D214" s="511"/>
      <c r="E214" s="522"/>
      <c r="F214" s="511"/>
    </row>
    <row r="215" spans="2:8" x14ac:dyDescent="0.2">
      <c r="B215" s="448"/>
      <c r="C215" s="521"/>
      <c r="D215" s="511"/>
      <c r="E215" s="522"/>
      <c r="F215" s="511"/>
      <c r="G215" s="511"/>
    </row>
    <row r="216" spans="2:8" x14ac:dyDescent="0.2">
      <c r="B216" s="448"/>
      <c r="C216" s="521"/>
      <c r="D216" s="511"/>
      <c r="E216" s="522"/>
      <c r="F216" s="511"/>
    </row>
    <row r="217" spans="2:8" x14ac:dyDescent="0.2">
      <c r="B217" s="527"/>
      <c r="C217" s="528"/>
      <c r="D217" s="529"/>
      <c r="E217" s="530"/>
      <c r="F217" s="529"/>
    </row>
    <row r="218" spans="2:8" x14ac:dyDescent="0.2">
      <c r="B218" s="527"/>
      <c r="C218" s="528"/>
      <c r="D218" s="527"/>
      <c r="E218" s="531"/>
      <c r="F218" s="529"/>
    </row>
    <row r="219" spans="2:8" x14ac:dyDescent="0.2">
      <c r="B219" s="527"/>
      <c r="C219" s="532"/>
      <c r="D219" s="533"/>
      <c r="E219" s="534"/>
      <c r="F219" s="529"/>
    </row>
    <row r="220" spans="2:8" x14ac:dyDescent="0.2">
      <c r="B220" s="527"/>
      <c r="C220" s="528"/>
      <c r="D220" s="527"/>
      <c r="E220" s="531"/>
      <c r="F220" s="529"/>
    </row>
    <row r="221" spans="2:8" x14ac:dyDescent="0.2">
      <c r="B221" s="527"/>
      <c r="C221" s="528"/>
      <c r="D221" s="527"/>
      <c r="E221" s="531"/>
      <c r="F221" s="529"/>
    </row>
    <row r="222" spans="2:8" x14ac:dyDescent="0.2">
      <c r="B222" s="527"/>
      <c r="C222" s="535"/>
      <c r="D222" s="527"/>
      <c r="E222" s="531"/>
      <c r="F222" s="529"/>
      <c r="G222" s="536"/>
      <c r="H222" s="536"/>
    </row>
    <row r="223" spans="2:8" x14ac:dyDescent="0.2">
      <c r="B223" s="527"/>
      <c r="C223" s="528"/>
      <c r="D223" s="527"/>
      <c r="E223" s="531"/>
      <c r="F223" s="527"/>
    </row>
    <row r="224" spans="2:8" x14ac:dyDescent="0.2">
      <c r="B224" s="527"/>
      <c r="C224" s="528"/>
      <c r="D224" s="527"/>
      <c r="E224" s="531"/>
      <c r="F224" s="527"/>
    </row>
    <row r="225" spans="2:9" x14ac:dyDescent="0.2">
      <c r="B225" s="527"/>
      <c r="C225" s="528"/>
      <c r="D225" s="527"/>
      <c r="E225" s="531"/>
      <c r="F225" s="527"/>
    </row>
    <row r="226" spans="2:9" x14ac:dyDescent="0.2">
      <c r="B226" s="527"/>
      <c r="C226" s="528"/>
      <c r="D226" s="527"/>
      <c r="E226" s="531"/>
      <c r="F226" s="527"/>
    </row>
    <row r="227" spans="2:9" x14ac:dyDescent="0.2">
      <c r="B227" s="527"/>
      <c r="C227" s="528"/>
      <c r="D227" s="527"/>
      <c r="E227" s="531"/>
      <c r="F227" s="527"/>
    </row>
    <row r="228" spans="2:9" x14ac:dyDescent="0.2">
      <c r="B228" s="527"/>
      <c r="C228" s="528"/>
      <c r="D228" s="527"/>
      <c r="E228" s="531"/>
      <c r="F228" s="527"/>
    </row>
    <row r="229" spans="2:9" x14ac:dyDescent="0.2">
      <c r="B229" s="527"/>
      <c r="C229" s="528"/>
      <c r="D229" s="527"/>
      <c r="E229" s="531"/>
      <c r="F229" s="527"/>
    </row>
    <row r="230" spans="2:9" x14ac:dyDescent="0.2">
      <c r="B230" s="527"/>
      <c r="C230" s="528"/>
      <c r="D230" s="527"/>
      <c r="E230" s="531"/>
      <c r="F230" s="527"/>
    </row>
    <row r="231" spans="2:9" x14ac:dyDescent="0.2">
      <c r="B231" s="527"/>
      <c r="C231" s="528"/>
      <c r="D231" s="527"/>
      <c r="E231" s="531"/>
      <c r="F231" s="527"/>
    </row>
    <row r="232" spans="2:9" x14ac:dyDescent="0.2">
      <c r="B232" s="527"/>
      <c r="C232" s="528"/>
      <c r="D232" s="527"/>
      <c r="E232" s="531"/>
      <c r="F232" s="527"/>
    </row>
    <row r="233" spans="2:9" x14ac:dyDescent="0.2">
      <c r="B233" s="527"/>
      <c r="C233" s="528"/>
      <c r="D233" s="527"/>
      <c r="E233" s="531"/>
      <c r="F233" s="527"/>
    </row>
    <row r="234" spans="2:9" x14ac:dyDescent="0.2">
      <c r="B234" s="537"/>
      <c r="C234" s="532"/>
      <c r="D234" s="537"/>
      <c r="E234" s="531"/>
      <c r="F234" s="529"/>
      <c r="G234" s="519"/>
      <c r="H234" s="519"/>
      <c r="I234" s="537"/>
    </row>
    <row r="235" spans="2:9" x14ac:dyDescent="0.2">
      <c r="B235" s="527"/>
      <c r="C235" s="528"/>
      <c r="D235" s="527"/>
      <c r="E235" s="531"/>
      <c r="F235" s="529"/>
    </row>
    <row r="236" spans="2:9" x14ac:dyDescent="0.2">
      <c r="B236" s="527"/>
      <c r="C236" s="528"/>
      <c r="D236" s="527"/>
      <c r="E236" s="531"/>
      <c r="F236" s="529"/>
    </row>
    <row r="237" spans="2:9" x14ac:dyDescent="0.2">
      <c r="B237" s="527"/>
      <c r="C237" s="528"/>
      <c r="D237" s="527"/>
      <c r="E237" s="531"/>
      <c r="F237" s="529"/>
    </row>
    <row r="238" spans="2:9" x14ac:dyDescent="0.2">
      <c r="B238" s="527"/>
      <c r="C238" s="528"/>
      <c r="D238" s="527"/>
      <c r="E238" s="531"/>
      <c r="F238" s="529"/>
    </row>
    <row r="239" spans="2:9" x14ac:dyDescent="0.2">
      <c r="B239" s="527"/>
      <c r="C239" s="528"/>
      <c r="D239" s="527"/>
      <c r="E239" s="531"/>
      <c r="F239" s="529"/>
    </row>
    <row r="240" spans="2:9" x14ac:dyDescent="0.2">
      <c r="B240" s="527"/>
      <c r="C240" s="528"/>
      <c r="D240" s="527"/>
      <c r="E240" s="531"/>
      <c r="F240" s="529"/>
    </row>
    <row r="241" spans="1:9" x14ac:dyDescent="0.2">
      <c r="B241" s="527"/>
      <c r="C241" s="528"/>
      <c r="D241" s="527"/>
      <c r="E241" s="531"/>
      <c r="F241" s="529"/>
    </row>
    <row r="242" spans="1:9" x14ac:dyDescent="0.2">
      <c r="B242" s="527"/>
      <c r="C242" s="528"/>
      <c r="D242" s="527"/>
      <c r="E242" s="531"/>
      <c r="F242" s="529"/>
    </row>
    <row r="243" spans="1:9" x14ac:dyDescent="0.2">
      <c r="C243" s="524"/>
    </row>
    <row r="244" spans="1:9" x14ac:dyDescent="0.2">
      <c r="C244" s="524"/>
    </row>
    <row r="245" spans="1:9" x14ac:dyDescent="0.2">
      <c r="C245" s="524"/>
    </row>
    <row r="246" spans="1:9" x14ac:dyDescent="0.2">
      <c r="C246" s="524"/>
    </row>
    <row r="247" spans="1:9" x14ac:dyDescent="0.2">
      <c r="C247" s="524"/>
    </row>
    <row r="248" spans="1:9" x14ac:dyDescent="0.2">
      <c r="C248" s="524"/>
    </row>
    <row r="249" spans="1:9" x14ac:dyDescent="0.2">
      <c r="C249" s="524"/>
    </row>
    <row r="250" spans="1:9" x14ac:dyDescent="0.2">
      <c r="C250" s="524"/>
    </row>
    <row r="251" spans="1:9" x14ac:dyDescent="0.2">
      <c r="C251" s="524"/>
    </row>
    <row r="252" spans="1:9" x14ac:dyDescent="0.2">
      <c r="C252" s="524"/>
    </row>
    <row r="253" spans="1:9" s="451" customFormat="1" x14ac:dyDescent="0.2">
      <c r="A253" s="510"/>
      <c r="C253" s="524"/>
      <c r="E253" s="510"/>
      <c r="F253" s="538"/>
      <c r="G253" s="448"/>
      <c r="H253" s="448"/>
      <c r="I253" s="448"/>
    </row>
    <row r="254" spans="1:9" s="451" customFormat="1" x14ac:dyDescent="0.2">
      <c r="A254" s="510"/>
      <c r="C254" s="524"/>
      <c r="E254" s="510"/>
      <c r="F254" s="538"/>
      <c r="G254" s="448"/>
      <c r="H254" s="448"/>
      <c r="I254" s="448"/>
    </row>
    <row r="255" spans="1:9" s="451" customFormat="1" x14ac:dyDescent="0.2">
      <c r="A255" s="510"/>
      <c r="C255" s="524"/>
      <c r="E255" s="510"/>
      <c r="F255" s="538"/>
      <c r="G255" s="448"/>
      <c r="H255" s="448"/>
      <c r="I255" s="448"/>
    </row>
    <row r="256" spans="1:9" s="451" customFormat="1" x14ac:dyDescent="0.2">
      <c r="A256" s="510"/>
      <c r="C256" s="524"/>
      <c r="E256" s="510"/>
      <c r="F256" s="538"/>
      <c r="G256" s="448"/>
      <c r="H256" s="448"/>
      <c r="I256" s="448"/>
    </row>
    <row r="257" spans="1:9" s="451" customFormat="1" x14ac:dyDescent="0.2">
      <c r="A257" s="510"/>
      <c r="C257" s="524"/>
      <c r="E257" s="510"/>
      <c r="F257" s="538"/>
      <c r="G257" s="448"/>
      <c r="H257" s="448"/>
      <c r="I257" s="448"/>
    </row>
    <row r="258" spans="1:9" s="451" customFormat="1" x14ac:dyDescent="0.2">
      <c r="A258" s="510"/>
      <c r="C258" s="524"/>
      <c r="E258" s="510"/>
      <c r="F258" s="538"/>
      <c r="G258" s="448"/>
      <c r="H258" s="448"/>
      <c r="I258" s="448"/>
    </row>
    <row r="259" spans="1:9" s="451" customFormat="1" x14ac:dyDescent="0.2">
      <c r="A259" s="510"/>
      <c r="C259" s="524"/>
      <c r="E259" s="510"/>
      <c r="F259" s="538"/>
      <c r="G259" s="448"/>
      <c r="H259" s="448"/>
      <c r="I259" s="448"/>
    </row>
    <row r="260" spans="1:9" s="451" customFormat="1" x14ac:dyDescent="0.2">
      <c r="A260" s="510"/>
      <c r="C260" s="524"/>
      <c r="E260" s="510"/>
      <c r="F260" s="538"/>
      <c r="G260" s="448"/>
      <c r="H260" s="448"/>
      <c r="I260" s="448"/>
    </row>
    <row r="261" spans="1:9" s="451" customFormat="1" x14ac:dyDescent="0.2">
      <c r="A261" s="510"/>
      <c r="C261" s="524"/>
      <c r="E261" s="510"/>
      <c r="F261" s="538"/>
      <c r="G261" s="448"/>
      <c r="H261" s="448"/>
      <c r="I261" s="448"/>
    </row>
    <row r="262" spans="1:9" s="451" customFormat="1" x14ac:dyDescent="0.2">
      <c r="A262" s="510"/>
      <c r="C262" s="524"/>
      <c r="E262" s="510"/>
      <c r="F262" s="538"/>
      <c r="G262" s="448"/>
      <c r="H262" s="448"/>
      <c r="I262" s="448"/>
    </row>
    <row r="263" spans="1:9" s="451" customFormat="1" x14ac:dyDescent="0.2">
      <c r="A263" s="510"/>
      <c r="C263" s="524"/>
      <c r="E263" s="510"/>
      <c r="F263" s="538"/>
      <c r="G263" s="448"/>
      <c r="H263" s="448"/>
      <c r="I263" s="448"/>
    </row>
    <row r="264" spans="1:9" s="451" customFormat="1" x14ac:dyDescent="0.2">
      <c r="A264" s="510"/>
      <c r="C264" s="524"/>
      <c r="E264" s="510"/>
      <c r="F264" s="538"/>
      <c r="G264" s="448"/>
      <c r="H264" s="448"/>
      <c r="I264" s="448"/>
    </row>
    <row r="265" spans="1:9" s="451" customFormat="1" x14ac:dyDescent="0.2">
      <c r="A265" s="510"/>
      <c r="C265" s="524"/>
      <c r="E265" s="510"/>
      <c r="F265" s="538"/>
      <c r="G265" s="448"/>
      <c r="H265" s="448"/>
      <c r="I265" s="448"/>
    </row>
    <row r="266" spans="1:9" s="451" customFormat="1" x14ac:dyDescent="0.2">
      <c r="A266" s="510"/>
      <c r="C266" s="524"/>
      <c r="E266" s="510"/>
      <c r="F266" s="538"/>
      <c r="G266" s="448"/>
      <c r="H266" s="448"/>
      <c r="I266" s="448"/>
    </row>
    <row r="267" spans="1:9" s="451" customFormat="1" x14ac:dyDescent="0.2">
      <c r="A267" s="510"/>
      <c r="C267" s="524"/>
      <c r="E267" s="510"/>
      <c r="F267" s="538"/>
      <c r="G267" s="448"/>
      <c r="H267" s="448"/>
      <c r="I267" s="448"/>
    </row>
    <row r="268" spans="1:9" s="451" customFormat="1" x14ac:dyDescent="0.2">
      <c r="A268" s="510"/>
      <c r="C268" s="524"/>
      <c r="E268" s="510"/>
      <c r="F268" s="538"/>
      <c r="G268" s="448"/>
      <c r="H268" s="448"/>
      <c r="I268" s="448"/>
    </row>
    <row r="269" spans="1:9" s="451" customFormat="1" x14ac:dyDescent="0.2">
      <c r="A269" s="510"/>
      <c r="C269" s="524"/>
      <c r="E269" s="510"/>
      <c r="F269" s="538"/>
      <c r="G269" s="448"/>
      <c r="H269" s="448"/>
      <c r="I269" s="448"/>
    </row>
    <row r="270" spans="1:9" s="451" customFormat="1" x14ac:dyDescent="0.2">
      <c r="A270" s="510"/>
      <c r="C270" s="524"/>
      <c r="E270" s="510"/>
      <c r="F270" s="538"/>
      <c r="G270" s="448"/>
      <c r="H270" s="448"/>
      <c r="I270" s="448"/>
    </row>
    <row r="271" spans="1:9" s="451" customFormat="1" x14ac:dyDescent="0.2">
      <c r="A271" s="510"/>
      <c r="C271" s="524"/>
      <c r="E271" s="510"/>
      <c r="F271" s="538"/>
      <c r="G271" s="448"/>
      <c r="H271" s="448"/>
      <c r="I271" s="448"/>
    </row>
    <row r="272" spans="1:9" s="451" customFormat="1" x14ac:dyDescent="0.2">
      <c r="A272" s="510"/>
      <c r="C272" s="524"/>
      <c r="E272" s="510"/>
      <c r="F272" s="538"/>
      <c r="G272" s="448"/>
      <c r="H272" s="448"/>
      <c r="I272" s="448"/>
    </row>
    <row r="273" spans="1:9" s="451" customFormat="1" x14ac:dyDescent="0.2">
      <c r="A273" s="510"/>
      <c r="C273" s="524"/>
      <c r="E273" s="510"/>
      <c r="F273" s="538"/>
      <c r="G273" s="448"/>
      <c r="H273" s="448"/>
      <c r="I273" s="448"/>
    </row>
    <row r="274" spans="1:9" s="451" customFormat="1" x14ac:dyDescent="0.2">
      <c r="A274" s="510"/>
      <c r="C274" s="524"/>
      <c r="E274" s="510"/>
      <c r="F274" s="538"/>
      <c r="G274" s="448"/>
      <c r="H274" s="448"/>
      <c r="I274" s="448"/>
    </row>
    <row r="275" spans="1:9" s="451" customFormat="1" x14ac:dyDescent="0.2">
      <c r="A275" s="510"/>
      <c r="C275" s="524"/>
      <c r="E275" s="510"/>
      <c r="F275" s="538"/>
      <c r="G275" s="448"/>
      <c r="H275" s="448"/>
      <c r="I275" s="448"/>
    </row>
    <row r="276" spans="1:9" s="451" customFormat="1" x14ac:dyDescent="0.2">
      <c r="A276" s="510"/>
      <c r="C276" s="524"/>
      <c r="E276" s="510"/>
      <c r="F276" s="538"/>
      <c r="G276" s="448"/>
      <c r="H276" s="448"/>
      <c r="I276" s="448"/>
    </row>
    <row r="277" spans="1:9" s="451" customFormat="1" x14ac:dyDescent="0.2">
      <c r="A277" s="510"/>
      <c r="C277" s="524"/>
      <c r="E277" s="510"/>
      <c r="F277" s="538"/>
      <c r="G277" s="448"/>
      <c r="H277" s="448"/>
      <c r="I277" s="448"/>
    </row>
    <row r="278" spans="1:9" s="451" customFormat="1" x14ac:dyDescent="0.2">
      <c r="A278" s="510"/>
      <c r="C278" s="524"/>
      <c r="E278" s="510"/>
      <c r="F278" s="538"/>
      <c r="G278" s="448"/>
      <c r="H278" s="448"/>
      <c r="I278" s="448"/>
    </row>
    <row r="279" spans="1:9" s="451" customFormat="1" x14ac:dyDescent="0.2">
      <c r="A279" s="510"/>
      <c r="C279" s="524"/>
      <c r="E279" s="510"/>
      <c r="F279" s="538"/>
      <c r="G279" s="448"/>
      <c r="H279" s="448"/>
      <c r="I279" s="448"/>
    </row>
    <row r="280" spans="1:9" s="451" customFormat="1" x14ac:dyDescent="0.2">
      <c r="A280" s="510"/>
      <c r="C280" s="524"/>
      <c r="E280" s="510"/>
      <c r="F280" s="538"/>
      <c r="G280" s="448"/>
      <c r="H280" s="448"/>
      <c r="I280" s="448"/>
    </row>
    <row r="281" spans="1:9" s="451" customFormat="1" x14ac:dyDescent="0.2">
      <c r="A281" s="510"/>
      <c r="C281" s="524"/>
      <c r="E281" s="510"/>
      <c r="F281" s="538"/>
      <c r="G281" s="448"/>
      <c r="H281" s="448"/>
      <c r="I281" s="448"/>
    </row>
    <row r="282" spans="1:9" s="451" customFormat="1" x14ac:dyDescent="0.2">
      <c r="A282" s="510"/>
      <c r="C282" s="524"/>
      <c r="E282" s="510"/>
      <c r="F282" s="538"/>
      <c r="G282" s="448"/>
      <c r="H282" s="448"/>
      <c r="I282" s="448"/>
    </row>
    <row r="283" spans="1:9" s="451" customFormat="1" x14ac:dyDescent="0.2">
      <c r="A283" s="510"/>
      <c r="C283" s="524"/>
      <c r="E283" s="510"/>
      <c r="F283" s="538"/>
      <c r="G283" s="448"/>
      <c r="H283" s="448"/>
      <c r="I283" s="448"/>
    </row>
    <row r="284" spans="1:9" s="451" customFormat="1" x14ac:dyDescent="0.2">
      <c r="A284" s="510"/>
      <c r="C284" s="524"/>
      <c r="E284" s="510"/>
      <c r="F284" s="538"/>
      <c r="G284" s="448"/>
      <c r="H284" s="448"/>
      <c r="I284" s="448"/>
    </row>
    <row r="285" spans="1:9" s="451" customFormat="1" x14ac:dyDescent="0.2">
      <c r="A285" s="510"/>
      <c r="C285" s="524"/>
      <c r="E285" s="510"/>
      <c r="F285" s="538"/>
      <c r="G285" s="448"/>
      <c r="H285" s="448"/>
      <c r="I285" s="448"/>
    </row>
    <row r="286" spans="1:9" s="451" customFormat="1" x14ac:dyDescent="0.2">
      <c r="A286" s="510"/>
      <c r="C286" s="524"/>
      <c r="E286" s="510"/>
      <c r="F286" s="538"/>
      <c r="G286" s="448"/>
      <c r="H286" s="448"/>
      <c r="I286" s="448"/>
    </row>
    <row r="287" spans="1:9" s="451" customFormat="1" x14ac:dyDescent="0.2">
      <c r="A287" s="510"/>
      <c r="C287" s="524"/>
      <c r="E287" s="510"/>
      <c r="F287" s="538"/>
      <c r="G287" s="448"/>
      <c r="H287" s="448"/>
      <c r="I287" s="448"/>
    </row>
    <row r="288" spans="1:9" s="451" customFormat="1" x14ac:dyDescent="0.2">
      <c r="A288" s="510"/>
      <c r="C288" s="524"/>
      <c r="E288" s="510"/>
      <c r="F288" s="538"/>
      <c r="G288" s="448"/>
      <c r="H288" s="448"/>
      <c r="I288" s="448"/>
    </row>
    <row r="289" spans="1:9" s="451" customFormat="1" x14ac:dyDescent="0.2">
      <c r="A289" s="510"/>
      <c r="C289" s="524"/>
      <c r="E289" s="510"/>
      <c r="F289" s="538"/>
      <c r="G289" s="448"/>
      <c r="H289" s="448"/>
      <c r="I289" s="448"/>
    </row>
    <row r="290" spans="1:9" s="451" customFormat="1" x14ac:dyDescent="0.2">
      <c r="A290" s="510"/>
      <c r="C290" s="524"/>
      <c r="E290" s="510"/>
      <c r="F290" s="538"/>
      <c r="G290" s="448"/>
      <c r="H290" s="448"/>
      <c r="I290" s="448"/>
    </row>
    <row r="291" spans="1:9" s="451" customFormat="1" x14ac:dyDescent="0.2">
      <c r="A291" s="510"/>
      <c r="C291" s="524"/>
      <c r="E291" s="510"/>
      <c r="F291" s="538"/>
      <c r="G291" s="448"/>
      <c r="H291" s="448"/>
      <c r="I291" s="448"/>
    </row>
    <row r="292" spans="1:9" s="451" customFormat="1" x14ac:dyDescent="0.2">
      <c r="A292" s="510"/>
      <c r="C292" s="524"/>
      <c r="E292" s="510"/>
      <c r="F292" s="538"/>
      <c r="G292" s="448"/>
      <c r="H292" s="448"/>
      <c r="I292" s="448"/>
    </row>
    <row r="293" spans="1:9" s="451" customFormat="1" x14ac:dyDescent="0.2">
      <c r="A293" s="510"/>
      <c r="C293" s="524"/>
      <c r="E293" s="510"/>
      <c r="F293" s="538"/>
      <c r="G293" s="448"/>
      <c r="H293" s="448"/>
      <c r="I293" s="448"/>
    </row>
    <row r="294" spans="1:9" s="451" customFormat="1" x14ac:dyDescent="0.2">
      <c r="A294" s="510"/>
      <c r="C294" s="524"/>
      <c r="E294" s="510"/>
      <c r="F294" s="538"/>
      <c r="G294" s="448"/>
      <c r="H294" s="448"/>
      <c r="I294" s="448"/>
    </row>
    <row r="295" spans="1:9" s="451" customFormat="1" x14ac:dyDescent="0.2">
      <c r="A295" s="510"/>
      <c r="C295" s="524"/>
      <c r="E295" s="510"/>
      <c r="F295" s="538"/>
      <c r="G295" s="448"/>
      <c r="H295" s="448"/>
      <c r="I295" s="448"/>
    </row>
    <row r="296" spans="1:9" s="451" customFormat="1" x14ac:dyDescent="0.2">
      <c r="A296" s="510"/>
      <c r="C296" s="524"/>
      <c r="E296" s="510"/>
      <c r="F296" s="538"/>
      <c r="G296" s="448"/>
      <c r="H296" s="448"/>
      <c r="I296" s="448"/>
    </row>
    <row r="297" spans="1:9" s="451" customFormat="1" x14ac:dyDescent="0.2">
      <c r="A297" s="510"/>
      <c r="C297" s="524"/>
      <c r="E297" s="510"/>
      <c r="F297" s="538"/>
      <c r="G297" s="448"/>
      <c r="H297" s="448"/>
      <c r="I297" s="448"/>
    </row>
    <row r="298" spans="1:9" s="451" customFormat="1" x14ac:dyDescent="0.2">
      <c r="A298" s="510"/>
      <c r="C298" s="524"/>
      <c r="E298" s="510"/>
      <c r="F298" s="538"/>
      <c r="G298" s="448"/>
      <c r="H298" s="448"/>
      <c r="I298" s="448"/>
    </row>
    <row r="299" spans="1:9" s="451" customFormat="1" x14ac:dyDescent="0.2">
      <c r="A299" s="510"/>
      <c r="C299" s="524"/>
      <c r="E299" s="510"/>
      <c r="F299" s="538"/>
      <c r="G299" s="448"/>
      <c r="H299" s="448"/>
      <c r="I299" s="448"/>
    </row>
    <row r="300" spans="1:9" s="451" customFormat="1" x14ac:dyDescent="0.2">
      <c r="A300" s="510"/>
      <c r="C300" s="524"/>
      <c r="E300" s="510"/>
      <c r="F300" s="538"/>
      <c r="G300" s="448"/>
      <c r="H300" s="448"/>
      <c r="I300" s="448"/>
    </row>
    <row r="301" spans="1:9" s="451" customFormat="1" x14ac:dyDescent="0.2">
      <c r="A301" s="510"/>
      <c r="C301" s="524"/>
      <c r="E301" s="510"/>
      <c r="F301" s="538"/>
      <c r="G301" s="448"/>
      <c r="H301" s="448"/>
      <c r="I301" s="448"/>
    </row>
    <row r="302" spans="1:9" s="451" customFormat="1" x14ac:dyDescent="0.2">
      <c r="A302" s="510"/>
      <c r="C302" s="524"/>
      <c r="E302" s="510"/>
      <c r="F302" s="538"/>
      <c r="G302" s="448"/>
      <c r="H302" s="448"/>
      <c r="I302" s="448"/>
    </row>
    <row r="303" spans="1:9" s="451" customFormat="1" x14ac:dyDescent="0.2">
      <c r="A303" s="510"/>
      <c r="C303" s="524"/>
      <c r="E303" s="510"/>
      <c r="F303" s="538"/>
      <c r="G303" s="448"/>
      <c r="H303" s="448"/>
      <c r="I303" s="448"/>
    </row>
    <row r="304" spans="1:9" s="451" customFormat="1" x14ac:dyDescent="0.2">
      <c r="A304" s="510"/>
      <c r="C304" s="524"/>
      <c r="E304" s="510"/>
      <c r="F304" s="538"/>
      <c r="G304" s="448"/>
      <c r="H304" s="448"/>
      <c r="I304" s="448"/>
    </row>
    <row r="305" spans="1:9" s="451" customFormat="1" x14ac:dyDescent="0.2">
      <c r="A305" s="510"/>
      <c r="C305" s="524"/>
      <c r="E305" s="510"/>
      <c r="F305" s="538"/>
      <c r="G305" s="448"/>
      <c r="H305" s="448"/>
      <c r="I305" s="448"/>
    </row>
    <row r="306" spans="1:9" s="451" customFormat="1" x14ac:dyDescent="0.2">
      <c r="A306" s="510"/>
      <c r="C306" s="524"/>
      <c r="E306" s="510"/>
      <c r="F306" s="538"/>
      <c r="G306" s="448"/>
      <c r="H306" s="448"/>
      <c r="I306" s="448"/>
    </row>
    <row r="307" spans="1:9" s="451" customFormat="1" x14ac:dyDescent="0.2">
      <c r="A307" s="510"/>
      <c r="C307" s="524"/>
      <c r="E307" s="510"/>
      <c r="F307" s="538"/>
      <c r="G307" s="448"/>
      <c r="H307" s="448"/>
      <c r="I307" s="448"/>
    </row>
    <row r="308" spans="1:9" s="451" customFormat="1" x14ac:dyDescent="0.2">
      <c r="A308" s="510"/>
      <c r="C308" s="524"/>
      <c r="E308" s="510"/>
      <c r="F308" s="538"/>
      <c r="G308" s="448"/>
      <c r="H308" s="448"/>
      <c r="I308" s="448"/>
    </row>
    <row r="309" spans="1:9" s="451" customFormat="1" x14ac:dyDescent="0.2">
      <c r="A309" s="510"/>
      <c r="C309" s="524"/>
      <c r="E309" s="510"/>
      <c r="F309" s="538"/>
      <c r="G309" s="448"/>
      <c r="H309" s="448"/>
      <c r="I309" s="448"/>
    </row>
    <row r="310" spans="1:9" s="451" customFormat="1" x14ac:dyDescent="0.2">
      <c r="A310" s="510"/>
      <c r="C310" s="524"/>
      <c r="E310" s="510"/>
      <c r="F310" s="538"/>
      <c r="G310" s="448"/>
      <c r="H310" s="448"/>
      <c r="I310" s="448"/>
    </row>
    <row r="311" spans="1:9" s="451" customFormat="1" x14ac:dyDescent="0.2">
      <c r="A311" s="510"/>
      <c r="C311" s="524"/>
      <c r="E311" s="510"/>
      <c r="F311" s="538"/>
      <c r="G311" s="448"/>
      <c r="H311" s="448"/>
      <c r="I311" s="448"/>
    </row>
    <row r="65606" spans="6:6" x14ac:dyDescent="0.2">
      <c r="F65606" s="511"/>
    </row>
  </sheetData>
  <mergeCells count="16">
    <mergeCell ref="A41:E41"/>
    <mergeCell ref="A1:E1"/>
    <mergeCell ref="F1:F3"/>
    <mergeCell ref="A2:E2"/>
    <mergeCell ref="A18:E18"/>
    <mergeCell ref="A24:E24"/>
    <mergeCell ref="A94:E94"/>
    <mergeCell ref="A116:E116"/>
    <mergeCell ref="A133:F133"/>
    <mergeCell ref="A150:E150"/>
    <mergeCell ref="A48:E48"/>
    <mergeCell ref="A51:E51"/>
    <mergeCell ref="A62:E62"/>
    <mergeCell ref="A71:E71"/>
    <mergeCell ref="A81:E81"/>
    <mergeCell ref="A85:E85"/>
  </mergeCells>
  <pageMargins left="0.78740157480314965" right="0.78740157480314965" top="0.98425196850393704" bottom="0.98425196850393704" header="0.51181102362204722" footer="0.51181102362204722"/>
  <pageSetup paperSize="9" scale="60" orientation="portrait" blackAndWhite="1" r:id="rId1"/>
  <headerFooter alignWithMargins="0"/>
  <rowBreaks count="2" manualBreakCount="2">
    <brk id="58" max="4" man="1"/>
    <brk id="115" max="4" man="1"/>
  </rowBreaks>
  <colBreaks count="1" manualBreakCount="1">
    <brk id="6" max="14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XFD67"/>
  <sheetViews>
    <sheetView view="pageBreakPreview" zoomScaleNormal="100" zoomScaleSheetLayoutView="100" workbookViewId="0">
      <selection activeCell="A4" sqref="A4:E4"/>
    </sheetView>
  </sheetViews>
  <sheetFormatPr defaultRowHeight="12.75" x14ac:dyDescent="0.2"/>
  <cols>
    <col min="1" max="1" width="6.85546875" style="517" bestFit="1" customWidth="1"/>
    <col min="2" max="2" width="29.28515625" style="448" customWidth="1"/>
    <col min="3" max="3" width="65.28515625" style="448" customWidth="1"/>
    <col min="4" max="4" width="7.85546875" style="448" customWidth="1"/>
    <col min="5" max="5" width="8.7109375" style="448" bestFit="1" customWidth="1"/>
    <col min="6" max="6" width="11" style="536" hidden="1" customWidth="1"/>
    <col min="7" max="7" width="8" style="562" customWidth="1"/>
    <col min="8" max="8" width="9.140625" style="448"/>
    <col min="9" max="9" width="19" style="448" customWidth="1"/>
    <col min="10" max="10" width="10.85546875" style="448" customWidth="1"/>
    <col min="11" max="12" width="11" style="448" customWidth="1"/>
    <col min="13" max="13" width="16.85546875" style="448" customWidth="1"/>
    <col min="14" max="14" width="9.140625" style="448"/>
    <col min="15" max="15" width="11.85546875" style="448" customWidth="1"/>
    <col min="16" max="256" width="9.140625" style="448"/>
    <col min="257" max="257" width="6.85546875" style="448" bestFit="1" customWidth="1"/>
    <col min="258" max="258" width="24" style="448" customWidth="1"/>
    <col min="259" max="259" width="57.42578125" style="448" customWidth="1"/>
    <col min="260" max="260" width="7.140625" style="448" customWidth="1"/>
    <col min="261" max="261" width="9.28515625" style="448" customWidth="1"/>
    <col min="262" max="262" width="9.7109375" style="448" bestFit="1" customWidth="1"/>
    <col min="263" max="263" width="17.7109375" style="448" customWidth="1"/>
    <col min="264" max="264" width="9.140625" style="448"/>
    <col min="265" max="265" width="19" style="448" customWidth="1"/>
    <col min="266" max="266" width="10.85546875" style="448" customWidth="1"/>
    <col min="267" max="268" width="11" style="448" customWidth="1"/>
    <col min="269" max="269" width="16.85546875" style="448" customWidth="1"/>
    <col min="270" max="270" width="9.140625" style="448"/>
    <col min="271" max="271" width="11.85546875" style="448" customWidth="1"/>
    <col min="272" max="512" width="9.140625" style="448"/>
    <col min="513" max="513" width="6.85546875" style="448" bestFit="1" customWidth="1"/>
    <col min="514" max="514" width="24" style="448" customWidth="1"/>
    <col min="515" max="515" width="57.42578125" style="448" customWidth="1"/>
    <col min="516" max="516" width="7.140625" style="448" customWidth="1"/>
    <col min="517" max="517" width="9.28515625" style="448" customWidth="1"/>
    <col min="518" max="518" width="9.7109375" style="448" bestFit="1" customWidth="1"/>
    <col min="519" max="519" width="17.7109375" style="448" customWidth="1"/>
    <col min="520" max="520" width="9.140625" style="448"/>
    <col min="521" max="521" width="19" style="448" customWidth="1"/>
    <col min="522" max="522" width="10.85546875" style="448" customWidth="1"/>
    <col min="523" max="524" width="11" style="448" customWidth="1"/>
    <col min="525" max="525" width="16.85546875" style="448" customWidth="1"/>
    <col min="526" max="526" width="9.140625" style="448"/>
    <col min="527" max="527" width="11.85546875" style="448" customWidth="1"/>
    <col min="528" max="768" width="9.140625" style="448"/>
    <col min="769" max="769" width="6.85546875" style="448" bestFit="1" customWidth="1"/>
    <col min="770" max="770" width="24" style="448" customWidth="1"/>
    <col min="771" max="771" width="57.42578125" style="448" customWidth="1"/>
    <col min="772" max="772" width="7.140625" style="448" customWidth="1"/>
    <col min="773" max="773" width="9.28515625" style="448" customWidth="1"/>
    <col min="774" max="774" width="9.7109375" style="448" bestFit="1" customWidth="1"/>
    <col min="775" max="775" width="17.7109375" style="448" customWidth="1"/>
    <col min="776" max="776" width="9.140625" style="448"/>
    <col min="777" max="777" width="19" style="448" customWidth="1"/>
    <col min="778" max="778" width="10.85546875" style="448" customWidth="1"/>
    <col min="779" max="780" width="11" style="448" customWidth="1"/>
    <col min="781" max="781" width="16.85546875" style="448" customWidth="1"/>
    <col min="782" max="782" width="9.140625" style="448"/>
    <col min="783" max="783" width="11.85546875" style="448" customWidth="1"/>
    <col min="784" max="1024" width="9.140625" style="448"/>
    <col min="1025" max="1025" width="6.85546875" style="448" bestFit="1" customWidth="1"/>
    <col min="1026" max="1026" width="24" style="448" customWidth="1"/>
    <col min="1027" max="1027" width="57.42578125" style="448" customWidth="1"/>
    <col min="1028" max="1028" width="7.140625" style="448" customWidth="1"/>
    <col min="1029" max="1029" width="9.28515625" style="448" customWidth="1"/>
    <col min="1030" max="1030" width="9.7109375" style="448" bestFit="1" customWidth="1"/>
    <col min="1031" max="1031" width="17.7109375" style="448" customWidth="1"/>
    <col min="1032" max="1032" width="9.140625" style="448"/>
    <col min="1033" max="1033" width="19" style="448" customWidth="1"/>
    <col min="1034" max="1034" width="10.85546875" style="448" customWidth="1"/>
    <col min="1035" max="1036" width="11" style="448" customWidth="1"/>
    <col min="1037" max="1037" width="16.85546875" style="448" customWidth="1"/>
    <col min="1038" max="1038" width="9.140625" style="448"/>
    <col min="1039" max="1039" width="11.85546875" style="448" customWidth="1"/>
    <col min="1040" max="1280" width="9.140625" style="448"/>
    <col min="1281" max="1281" width="6.85546875" style="448" bestFit="1" customWidth="1"/>
    <col min="1282" max="1282" width="24" style="448" customWidth="1"/>
    <col min="1283" max="1283" width="57.42578125" style="448" customWidth="1"/>
    <col min="1284" max="1284" width="7.140625" style="448" customWidth="1"/>
    <col min="1285" max="1285" width="9.28515625" style="448" customWidth="1"/>
    <col min="1286" max="1286" width="9.7109375" style="448" bestFit="1" customWidth="1"/>
    <col min="1287" max="1287" width="17.7109375" style="448" customWidth="1"/>
    <col min="1288" max="1288" width="9.140625" style="448"/>
    <col min="1289" max="1289" width="19" style="448" customWidth="1"/>
    <col min="1290" max="1290" width="10.85546875" style="448" customWidth="1"/>
    <col min="1291" max="1292" width="11" style="448" customWidth="1"/>
    <col min="1293" max="1293" width="16.85546875" style="448" customWidth="1"/>
    <col min="1294" max="1294" width="9.140625" style="448"/>
    <col min="1295" max="1295" width="11.85546875" style="448" customWidth="1"/>
    <col min="1296" max="1536" width="9.140625" style="448"/>
    <col min="1537" max="1537" width="6.85546875" style="448" bestFit="1" customWidth="1"/>
    <col min="1538" max="1538" width="24" style="448" customWidth="1"/>
    <col min="1539" max="1539" width="57.42578125" style="448" customWidth="1"/>
    <col min="1540" max="1540" width="7.140625" style="448" customWidth="1"/>
    <col min="1541" max="1541" width="9.28515625" style="448" customWidth="1"/>
    <col min="1542" max="1542" width="9.7109375" style="448" bestFit="1" customWidth="1"/>
    <col min="1543" max="1543" width="17.7109375" style="448" customWidth="1"/>
    <col min="1544" max="1544" width="9.140625" style="448"/>
    <col min="1545" max="1545" width="19" style="448" customWidth="1"/>
    <col min="1546" max="1546" width="10.85546875" style="448" customWidth="1"/>
    <col min="1547" max="1548" width="11" style="448" customWidth="1"/>
    <col min="1549" max="1549" width="16.85546875" style="448" customWidth="1"/>
    <col min="1550" max="1550" width="9.140625" style="448"/>
    <col min="1551" max="1551" width="11.85546875" style="448" customWidth="1"/>
    <col min="1552" max="1792" width="9.140625" style="448"/>
    <col min="1793" max="1793" width="6.85546875" style="448" bestFit="1" customWidth="1"/>
    <col min="1794" max="1794" width="24" style="448" customWidth="1"/>
    <col min="1795" max="1795" width="57.42578125" style="448" customWidth="1"/>
    <col min="1796" max="1796" width="7.140625" style="448" customWidth="1"/>
    <col min="1797" max="1797" width="9.28515625" style="448" customWidth="1"/>
    <col min="1798" max="1798" width="9.7109375" style="448" bestFit="1" customWidth="1"/>
    <col min="1799" max="1799" width="17.7109375" style="448" customWidth="1"/>
    <col min="1800" max="1800" width="9.140625" style="448"/>
    <col min="1801" max="1801" width="19" style="448" customWidth="1"/>
    <col min="1802" max="1802" width="10.85546875" style="448" customWidth="1"/>
    <col min="1803" max="1804" width="11" style="448" customWidth="1"/>
    <col min="1805" max="1805" width="16.85546875" style="448" customWidth="1"/>
    <col min="1806" max="1806" width="9.140625" style="448"/>
    <col min="1807" max="1807" width="11.85546875" style="448" customWidth="1"/>
    <col min="1808" max="2048" width="9.140625" style="448"/>
    <col min="2049" max="2049" width="6.85546875" style="448" bestFit="1" customWidth="1"/>
    <col min="2050" max="2050" width="24" style="448" customWidth="1"/>
    <col min="2051" max="2051" width="57.42578125" style="448" customWidth="1"/>
    <col min="2052" max="2052" width="7.140625" style="448" customWidth="1"/>
    <col min="2053" max="2053" width="9.28515625" style="448" customWidth="1"/>
    <col min="2054" max="2054" width="9.7109375" style="448" bestFit="1" customWidth="1"/>
    <col min="2055" max="2055" width="17.7109375" style="448" customWidth="1"/>
    <col min="2056" max="2056" width="9.140625" style="448"/>
    <col min="2057" max="2057" width="19" style="448" customWidth="1"/>
    <col min="2058" max="2058" width="10.85546875" style="448" customWidth="1"/>
    <col min="2059" max="2060" width="11" style="448" customWidth="1"/>
    <col min="2061" max="2061" width="16.85546875" style="448" customWidth="1"/>
    <col min="2062" max="2062" width="9.140625" style="448"/>
    <col min="2063" max="2063" width="11.85546875" style="448" customWidth="1"/>
    <col min="2064" max="2304" width="9.140625" style="448"/>
    <col min="2305" max="2305" width="6.85546875" style="448" bestFit="1" customWidth="1"/>
    <col min="2306" max="2306" width="24" style="448" customWidth="1"/>
    <col min="2307" max="2307" width="57.42578125" style="448" customWidth="1"/>
    <col min="2308" max="2308" width="7.140625" style="448" customWidth="1"/>
    <col min="2309" max="2309" width="9.28515625" style="448" customWidth="1"/>
    <col min="2310" max="2310" width="9.7109375" style="448" bestFit="1" customWidth="1"/>
    <col min="2311" max="2311" width="17.7109375" style="448" customWidth="1"/>
    <col min="2312" max="2312" width="9.140625" style="448"/>
    <col min="2313" max="2313" width="19" style="448" customWidth="1"/>
    <col min="2314" max="2314" width="10.85546875" style="448" customWidth="1"/>
    <col min="2315" max="2316" width="11" style="448" customWidth="1"/>
    <col min="2317" max="2317" width="16.85546875" style="448" customWidth="1"/>
    <col min="2318" max="2318" width="9.140625" style="448"/>
    <col min="2319" max="2319" width="11.85546875" style="448" customWidth="1"/>
    <col min="2320" max="2560" width="9.140625" style="448"/>
    <col min="2561" max="2561" width="6.85546875" style="448" bestFit="1" customWidth="1"/>
    <col min="2562" max="2562" width="24" style="448" customWidth="1"/>
    <col min="2563" max="2563" width="57.42578125" style="448" customWidth="1"/>
    <col min="2564" max="2564" width="7.140625" style="448" customWidth="1"/>
    <col min="2565" max="2565" width="9.28515625" style="448" customWidth="1"/>
    <col min="2566" max="2566" width="9.7109375" style="448" bestFit="1" customWidth="1"/>
    <col min="2567" max="2567" width="17.7109375" style="448" customWidth="1"/>
    <col min="2568" max="2568" width="9.140625" style="448"/>
    <col min="2569" max="2569" width="19" style="448" customWidth="1"/>
    <col min="2570" max="2570" width="10.85546875" style="448" customWidth="1"/>
    <col min="2571" max="2572" width="11" style="448" customWidth="1"/>
    <col min="2573" max="2573" width="16.85546875" style="448" customWidth="1"/>
    <col min="2574" max="2574" width="9.140625" style="448"/>
    <col min="2575" max="2575" width="11.85546875" style="448" customWidth="1"/>
    <col min="2576" max="2816" width="9.140625" style="448"/>
    <col min="2817" max="2817" width="6.85546875" style="448" bestFit="1" customWidth="1"/>
    <col min="2818" max="2818" width="24" style="448" customWidth="1"/>
    <col min="2819" max="2819" width="57.42578125" style="448" customWidth="1"/>
    <col min="2820" max="2820" width="7.140625" style="448" customWidth="1"/>
    <col min="2821" max="2821" width="9.28515625" style="448" customWidth="1"/>
    <col min="2822" max="2822" width="9.7109375" style="448" bestFit="1" customWidth="1"/>
    <col min="2823" max="2823" width="17.7109375" style="448" customWidth="1"/>
    <col min="2824" max="2824" width="9.140625" style="448"/>
    <col min="2825" max="2825" width="19" style="448" customWidth="1"/>
    <col min="2826" max="2826" width="10.85546875" style="448" customWidth="1"/>
    <col min="2827" max="2828" width="11" style="448" customWidth="1"/>
    <col min="2829" max="2829" width="16.85546875" style="448" customWidth="1"/>
    <col min="2830" max="2830" width="9.140625" style="448"/>
    <col min="2831" max="2831" width="11.85546875" style="448" customWidth="1"/>
    <col min="2832" max="3072" width="9.140625" style="448"/>
    <col min="3073" max="3073" width="6.85546875" style="448" bestFit="1" customWidth="1"/>
    <col min="3074" max="3074" width="24" style="448" customWidth="1"/>
    <col min="3075" max="3075" width="57.42578125" style="448" customWidth="1"/>
    <col min="3076" max="3076" width="7.140625" style="448" customWidth="1"/>
    <col min="3077" max="3077" width="9.28515625" style="448" customWidth="1"/>
    <col min="3078" max="3078" width="9.7109375" style="448" bestFit="1" customWidth="1"/>
    <col min="3079" max="3079" width="17.7109375" style="448" customWidth="1"/>
    <col min="3080" max="3080" width="9.140625" style="448"/>
    <col min="3081" max="3081" width="19" style="448" customWidth="1"/>
    <col min="3082" max="3082" width="10.85546875" style="448" customWidth="1"/>
    <col min="3083" max="3084" width="11" style="448" customWidth="1"/>
    <col min="3085" max="3085" width="16.85546875" style="448" customWidth="1"/>
    <col min="3086" max="3086" width="9.140625" style="448"/>
    <col min="3087" max="3087" width="11.85546875" style="448" customWidth="1"/>
    <col min="3088" max="3328" width="9.140625" style="448"/>
    <col min="3329" max="3329" width="6.85546875" style="448" bestFit="1" customWidth="1"/>
    <col min="3330" max="3330" width="24" style="448" customWidth="1"/>
    <col min="3331" max="3331" width="57.42578125" style="448" customWidth="1"/>
    <col min="3332" max="3332" width="7.140625" style="448" customWidth="1"/>
    <col min="3333" max="3333" width="9.28515625" style="448" customWidth="1"/>
    <col min="3334" max="3334" width="9.7109375" style="448" bestFit="1" customWidth="1"/>
    <col min="3335" max="3335" width="17.7109375" style="448" customWidth="1"/>
    <col min="3336" max="3336" width="9.140625" style="448"/>
    <col min="3337" max="3337" width="19" style="448" customWidth="1"/>
    <col min="3338" max="3338" width="10.85546875" style="448" customWidth="1"/>
    <col min="3339" max="3340" width="11" style="448" customWidth="1"/>
    <col min="3341" max="3341" width="16.85546875" style="448" customWidth="1"/>
    <col min="3342" max="3342" width="9.140625" style="448"/>
    <col min="3343" max="3343" width="11.85546875" style="448" customWidth="1"/>
    <col min="3344" max="3584" width="9.140625" style="448"/>
    <col min="3585" max="3585" width="6.85546875" style="448" bestFit="1" customWidth="1"/>
    <col min="3586" max="3586" width="24" style="448" customWidth="1"/>
    <col min="3587" max="3587" width="57.42578125" style="448" customWidth="1"/>
    <col min="3588" max="3588" width="7.140625" style="448" customWidth="1"/>
    <col min="3589" max="3589" width="9.28515625" style="448" customWidth="1"/>
    <col min="3590" max="3590" width="9.7109375" style="448" bestFit="1" customWidth="1"/>
    <col min="3591" max="3591" width="17.7109375" style="448" customWidth="1"/>
    <col min="3592" max="3592" width="9.140625" style="448"/>
    <col min="3593" max="3593" width="19" style="448" customWidth="1"/>
    <col min="3594" max="3594" width="10.85546875" style="448" customWidth="1"/>
    <col min="3595" max="3596" width="11" style="448" customWidth="1"/>
    <col min="3597" max="3597" width="16.85546875" style="448" customWidth="1"/>
    <col min="3598" max="3598" width="9.140625" style="448"/>
    <col min="3599" max="3599" width="11.85546875" style="448" customWidth="1"/>
    <col min="3600" max="3840" width="9.140625" style="448"/>
    <col min="3841" max="3841" width="6.85546875" style="448" bestFit="1" customWidth="1"/>
    <col min="3842" max="3842" width="24" style="448" customWidth="1"/>
    <col min="3843" max="3843" width="57.42578125" style="448" customWidth="1"/>
    <col min="3844" max="3844" width="7.140625" style="448" customWidth="1"/>
    <col min="3845" max="3845" width="9.28515625" style="448" customWidth="1"/>
    <col min="3846" max="3846" width="9.7109375" style="448" bestFit="1" customWidth="1"/>
    <col min="3847" max="3847" width="17.7109375" style="448" customWidth="1"/>
    <col min="3848" max="3848" width="9.140625" style="448"/>
    <col min="3849" max="3849" width="19" style="448" customWidth="1"/>
    <col min="3850" max="3850" width="10.85546875" style="448" customWidth="1"/>
    <col min="3851" max="3852" width="11" style="448" customWidth="1"/>
    <col min="3853" max="3853" width="16.85546875" style="448" customWidth="1"/>
    <col min="3854" max="3854" width="9.140625" style="448"/>
    <col min="3855" max="3855" width="11.85546875" style="448" customWidth="1"/>
    <col min="3856" max="4096" width="9.140625" style="448"/>
    <col min="4097" max="4097" width="6.85546875" style="448" bestFit="1" customWidth="1"/>
    <col min="4098" max="4098" width="24" style="448" customWidth="1"/>
    <col min="4099" max="4099" width="57.42578125" style="448" customWidth="1"/>
    <col min="4100" max="4100" width="7.140625" style="448" customWidth="1"/>
    <col min="4101" max="4101" width="9.28515625" style="448" customWidth="1"/>
    <col min="4102" max="4102" width="9.7109375" style="448" bestFit="1" customWidth="1"/>
    <col min="4103" max="4103" width="17.7109375" style="448" customWidth="1"/>
    <col min="4104" max="4104" width="9.140625" style="448"/>
    <col min="4105" max="4105" width="19" style="448" customWidth="1"/>
    <col min="4106" max="4106" width="10.85546875" style="448" customWidth="1"/>
    <col min="4107" max="4108" width="11" style="448" customWidth="1"/>
    <col min="4109" max="4109" width="16.85546875" style="448" customWidth="1"/>
    <col min="4110" max="4110" width="9.140625" style="448"/>
    <col min="4111" max="4111" width="11.85546875" style="448" customWidth="1"/>
    <col min="4112" max="4352" width="9.140625" style="448"/>
    <col min="4353" max="4353" width="6.85546875" style="448" bestFit="1" customWidth="1"/>
    <col min="4354" max="4354" width="24" style="448" customWidth="1"/>
    <col min="4355" max="4355" width="57.42578125" style="448" customWidth="1"/>
    <col min="4356" max="4356" width="7.140625" style="448" customWidth="1"/>
    <col min="4357" max="4357" width="9.28515625" style="448" customWidth="1"/>
    <col min="4358" max="4358" width="9.7109375" style="448" bestFit="1" customWidth="1"/>
    <col min="4359" max="4359" width="17.7109375" style="448" customWidth="1"/>
    <col min="4360" max="4360" width="9.140625" style="448"/>
    <col min="4361" max="4361" width="19" style="448" customWidth="1"/>
    <col min="4362" max="4362" width="10.85546875" style="448" customWidth="1"/>
    <col min="4363" max="4364" width="11" style="448" customWidth="1"/>
    <col min="4365" max="4365" width="16.85546875" style="448" customWidth="1"/>
    <col min="4366" max="4366" width="9.140625" style="448"/>
    <col min="4367" max="4367" width="11.85546875" style="448" customWidth="1"/>
    <col min="4368" max="4608" width="9.140625" style="448"/>
    <col min="4609" max="4609" width="6.85546875" style="448" bestFit="1" customWidth="1"/>
    <col min="4610" max="4610" width="24" style="448" customWidth="1"/>
    <col min="4611" max="4611" width="57.42578125" style="448" customWidth="1"/>
    <col min="4612" max="4612" width="7.140625" style="448" customWidth="1"/>
    <col min="4613" max="4613" width="9.28515625" style="448" customWidth="1"/>
    <col min="4614" max="4614" width="9.7109375" style="448" bestFit="1" customWidth="1"/>
    <col min="4615" max="4615" width="17.7109375" style="448" customWidth="1"/>
    <col min="4616" max="4616" width="9.140625" style="448"/>
    <col min="4617" max="4617" width="19" style="448" customWidth="1"/>
    <col min="4618" max="4618" width="10.85546875" style="448" customWidth="1"/>
    <col min="4619" max="4620" width="11" style="448" customWidth="1"/>
    <col min="4621" max="4621" width="16.85546875" style="448" customWidth="1"/>
    <col min="4622" max="4622" width="9.140625" style="448"/>
    <col min="4623" max="4623" width="11.85546875" style="448" customWidth="1"/>
    <col min="4624" max="4864" width="9.140625" style="448"/>
    <col min="4865" max="4865" width="6.85546875" style="448" bestFit="1" customWidth="1"/>
    <col min="4866" max="4866" width="24" style="448" customWidth="1"/>
    <col min="4867" max="4867" width="57.42578125" style="448" customWidth="1"/>
    <col min="4868" max="4868" width="7.140625" style="448" customWidth="1"/>
    <col min="4869" max="4869" width="9.28515625" style="448" customWidth="1"/>
    <col min="4870" max="4870" width="9.7109375" style="448" bestFit="1" customWidth="1"/>
    <col min="4871" max="4871" width="17.7109375" style="448" customWidth="1"/>
    <col min="4872" max="4872" width="9.140625" style="448"/>
    <col min="4873" max="4873" width="19" style="448" customWidth="1"/>
    <col min="4874" max="4874" width="10.85546875" style="448" customWidth="1"/>
    <col min="4875" max="4876" width="11" style="448" customWidth="1"/>
    <col min="4877" max="4877" width="16.85546875" style="448" customWidth="1"/>
    <col min="4878" max="4878" width="9.140625" style="448"/>
    <col min="4879" max="4879" width="11.85546875" style="448" customWidth="1"/>
    <col min="4880" max="5120" width="9.140625" style="448"/>
    <col min="5121" max="5121" width="6.85546875" style="448" bestFit="1" customWidth="1"/>
    <col min="5122" max="5122" width="24" style="448" customWidth="1"/>
    <col min="5123" max="5123" width="57.42578125" style="448" customWidth="1"/>
    <col min="5124" max="5124" width="7.140625" style="448" customWidth="1"/>
    <col min="5125" max="5125" width="9.28515625" style="448" customWidth="1"/>
    <col min="5126" max="5126" width="9.7109375" style="448" bestFit="1" customWidth="1"/>
    <col min="5127" max="5127" width="17.7109375" style="448" customWidth="1"/>
    <col min="5128" max="5128" width="9.140625" style="448"/>
    <col min="5129" max="5129" width="19" style="448" customWidth="1"/>
    <col min="5130" max="5130" width="10.85546875" style="448" customWidth="1"/>
    <col min="5131" max="5132" width="11" style="448" customWidth="1"/>
    <col min="5133" max="5133" width="16.85546875" style="448" customWidth="1"/>
    <col min="5134" max="5134" width="9.140625" style="448"/>
    <col min="5135" max="5135" width="11.85546875" style="448" customWidth="1"/>
    <col min="5136" max="5376" width="9.140625" style="448"/>
    <col min="5377" max="5377" width="6.85546875" style="448" bestFit="1" customWidth="1"/>
    <col min="5378" max="5378" width="24" style="448" customWidth="1"/>
    <col min="5379" max="5379" width="57.42578125" style="448" customWidth="1"/>
    <col min="5380" max="5380" width="7.140625" style="448" customWidth="1"/>
    <col min="5381" max="5381" width="9.28515625" style="448" customWidth="1"/>
    <col min="5382" max="5382" width="9.7109375" style="448" bestFit="1" customWidth="1"/>
    <col min="5383" max="5383" width="17.7109375" style="448" customWidth="1"/>
    <col min="5384" max="5384" width="9.140625" style="448"/>
    <col min="5385" max="5385" width="19" style="448" customWidth="1"/>
    <col min="5386" max="5386" width="10.85546875" style="448" customWidth="1"/>
    <col min="5387" max="5388" width="11" style="448" customWidth="1"/>
    <col min="5389" max="5389" width="16.85546875" style="448" customWidth="1"/>
    <col min="5390" max="5390" width="9.140625" style="448"/>
    <col min="5391" max="5391" width="11.85546875" style="448" customWidth="1"/>
    <col min="5392" max="5632" width="9.140625" style="448"/>
    <col min="5633" max="5633" width="6.85546875" style="448" bestFit="1" customWidth="1"/>
    <col min="5634" max="5634" width="24" style="448" customWidth="1"/>
    <col min="5635" max="5635" width="57.42578125" style="448" customWidth="1"/>
    <col min="5636" max="5636" width="7.140625" style="448" customWidth="1"/>
    <col min="5637" max="5637" width="9.28515625" style="448" customWidth="1"/>
    <col min="5638" max="5638" width="9.7109375" style="448" bestFit="1" customWidth="1"/>
    <col min="5639" max="5639" width="17.7109375" style="448" customWidth="1"/>
    <col min="5640" max="5640" width="9.140625" style="448"/>
    <col min="5641" max="5641" width="19" style="448" customWidth="1"/>
    <col min="5642" max="5642" width="10.85546875" style="448" customWidth="1"/>
    <col min="5643" max="5644" width="11" style="448" customWidth="1"/>
    <col min="5645" max="5645" width="16.85546875" style="448" customWidth="1"/>
    <col min="5646" max="5646" width="9.140625" style="448"/>
    <col min="5647" max="5647" width="11.85546875" style="448" customWidth="1"/>
    <col min="5648" max="5888" width="9.140625" style="448"/>
    <col min="5889" max="5889" width="6.85546875" style="448" bestFit="1" customWidth="1"/>
    <col min="5890" max="5890" width="24" style="448" customWidth="1"/>
    <col min="5891" max="5891" width="57.42578125" style="448" customWidth="1"/>
    <col min="5892" max="5892" width="7.140625" style="448" customWidth="1"/>
    <col min="5893" max="5893" width="9.28515625" style="448" customWidth="1"/>
    <col min="5894" max="5894" width="9.7109375" style="448" bestFit="1" customWidth="1"/>
    <col min="5895" max="5895" width="17.7109375" style="448" customWidth="1"/>
    <col min="5896" max="5896" width="9.140625" style="448"/>
    <col min="5897" max="5897" width="19" style="448" customWidth="1"/>
    <col min="5898" max="5898" width="10.85546875" style="448" customWidth="1"/>
    <col min="5899" max="5900" width="11" style="448" customWidth="1"/>
    <col min="5901" max="5901" width="16.85546875" style="448" customWidth="1"/>
    <col min="5902" max="5902" width="9.140625" style="448"/>
    <col min="5903" max="5903" width="11.85546875" style="448" customWidth="1"/>
    <col min="5904" max="6144" width="9.140625" style="448"/>
    <col min="6145" max="6145" width="6.85546875" style="448" bestFit="1" customWidth="1"/>
    <col min="6146" max="6146" width="24" style="448" customWidth="1"/>
    <col min="6147" max="6147" width="57.42578125" style="448" customWidth="1"/>
    <col min="6148" max="6148" width="7.140625" style="448" customWidth="1"/>
    <col min="6149" max="6149" width="9.28515625" style="448" customWidth="1"/>
    <col min="6150" max="6150" width="9.7109375" style="448" bestFit="1" customWidth="1"/>
    <col min="6151" max="6151" width="17.7109375" style="448" customWidth="1"/>
    <col min="6152" max="6152" width="9.140625" style="448"/>
    <col min="6153" max="6153" width="19" style="448" customWidth="1"/>
    <col min="6154" max="6154" width="10.85546875" style="448" customWidth="1"/>
    <col min="6155" max="6156" width="11" style="448" customWidth="1"/>
    <col min="6157" max="6157" width="16.85546875" style="448" customWidth="1"/>
    <col min="6158" max="6158" width="9.140625" style="448"/>
    <col min="6159" max="6159" width="11.85546875" style="448" customWidth="1"/>
    <col min="6160" max="6400" width="9.140625" style="448"/>
    <col min="6401" max="6401" width="6.85546875" style="448" bestFit="1" customWidth="1"/>
    <col min="6402" max="6402" width="24" style="448" customWidth="1"/>
    <col min="6403" max="6403" width="57.42578125" style="448" customWidth="1"/>
    <col min="6404" max="6404" width="7.140625" style="448" customWidth="1"/>
    <col min="6405" max="6405" width="9.28515625" style="448" customWidth="1"/>
    <col min="6406" max="6406" width="9.7109375" style="448" bestFit="1" customWidth="1"/>
    <col min="6407" max="6407" width="17.7109375" style="448" customWidth="1"/>
    <col min="6408" max="6408" width="9.140625" style="448"/>
    <col min="6409" max="6409" width="19" style="448" customWidth="1"/>
    <col min="6410" max="6410" width="10.85546875" style="448" customWidth="1"/>
    <col min="6411" max="6412" width="11" style="448" customWidth="1"/>
    <col min="6413" max="6413" width="16.85546875" style="448" customWidth="1"/>
    <col min="6414" max="6414" width="9.140625" style="448"/>
    <col min="6415" max="6415" width="11.85546875" style="448" customWidth="1"/>
    <col min="6416" max="6656" width="9.140625" style="448"/>
    <col min="6657" max="6657" width="6.85546875" style="448" bestFit="1" customWidth="1"/>
    <col min="6658" max="6658" width="24" style="448" customWidth="1"/>
    <col min="6659" max="6659" width="57.42578125" style="448" customWidth="1"/>
    <col min="6660" max="6660" width="7.140625" style="448" customWidth="1"/>
    <col min="6661" max="6661" width="9.28515625" style="448" customWidth="1"/>
    <col min="6662" max="6662" width="9.7109375" style="448" bestFit="1" customWidth="1"/>
    <col min="6663" max="6663" width="17.7109375" style="448" customWidth="1"/>
    <col min="6664" max="6664" width="9.140625" style="448"/>
    <col min="6665" max="6665" width="19" style="448" customWidth="1"/>
    <col min="6666" max="6666" width="10.85546875" style="448" customWidth="1"/>
    <col min="6667" max="6668" width="11" style="448" customWidth="1"/>
    <col min="6669" max="6669" width="16.85546875" style="448" customWidth="1"/>
    <col min="6670" max="6670" width="9.140625" style="448"/>
    <col min="6671" max="6671" width="11.85546875" style="448" customWidth="1"/>
    <col min="6672" max="6912" width="9.140625" style="448"/>
    <col min="6913" max="6913" width="6.85546875" style="448" bestFit="1" customWidth="1"/>
    <col min="6914" max="6914" width="24" style="448" customWidth="1"/>
    <col min="6915" max="6915" width="57.42578125" style="448" customWidth="1"/>
    <col min="6916" max="6916" width="7.140625" style="448" customWidth="1"/>
    <col min="6917" max="6917" width="9.28515625" style="448" customWidth="1"/>
    <col min="6918" max="6918" width="9.7109375" style="448" bestFit="1" customWidth="1"/>
    <col min="6919" max="6919" width="17.7109375" style="448" customWidth="1"/>
    <col min="6920" max="6920" width="9.140625" style="448"/>
    <col min="6921" max="6921" width="19" style="448" customWidth="1"/>
    <col min="6922" max="6922" width="10.85546875" style="448" customWidth="1"/>
    <col min="6923" max="6924" width="11" style="448" customWidth="1"/>
    <col min="6925" max="6925" width="16.85546875" style="448" customWidth="1"/>
    <col min="6926" max="6926" width="9.140625" style="448"/>
    <col min="6927" max="6927" width="11.85546875" style="448" customWidth="1"/>
    <col min="6928" max="7168" width="9.140625" style="448"/>
    <col min="7169" max="7169" width="6.85546875" style="448" bestFit="1" customWidth="1"/>
    <col min="7170" max="7170" width="24" style="448" customWidth="1"/>
    <col min="7171" max="7171" width="57.42578125" style="448" customWidth="1"/>
    <col min="7172" max="7172" width="7.140625" style="448" customWidth="1"/>
    <col min="7173" max="7173" width="9.28515625" style="448" customWidth="1"/>
    <col min="7174" max="7174" width="9.7109375" style="448" bestFit="1" customWidth="1"/>
    <col min="7175" max="7175" width="17.7109375" style="448" customWidth="1"/>
    <col min="7176" max="7176" width="9.140625" style="448"/>
    <col min="7177" max="7177" width="19" style="448" customWidth="1"/>
    <col min="7178" max="7178" width="10.85546875" style="448" customWidth="1"/>
    <col min="7179" max="7180" width="11" style="448" customWidth="1"/>
    <col min="7181" max="7181" width="16.85546875" style="448" customWidth="1"/>
    <col min="7182" max="7182" width="9.140625" style="448"/>
    <col min="7183" max="7183" width="11.85546875" style="448" customWidth="1"/>
    <col min="7184" max="7424" width="9.140625" style="448"/>
    <col min="7425" max="7425" width="6.85546875" style="448" bestFit="1" customWidth="1"/>
    <col min="7426" max="7426" width="24" style="448" customWidth="1"/>
    <col min="7427" max="7427" width="57.42578125" style="448" customWidth="1"/>
    <col min="7428" max="7428" width="7.140625" style="448" customWidth="1"/>
    <col min="7429" max="7429" width="9.28515625" style="448" customWidth="1"/>
    <col min="7430" max="7430" width="9.7109375" style="448" bestFit="1" customWidth="1"/>
    <col min="7431" max="7431" width="17.7109375" style="448" customWidth="1"/>
    <col min="7432" max="7432" width="9.140625" style="448"/>
    <col min="7433" max="7433" width="19" style="448" customWidth="1"/>
    <col min="7434" max="7434" width="10.85546875" style="448" customWidth="1"/>
    <col min="7435" max="7436" width="11" style="448" customWidth="1"/>
    <col min="7437" max="7437" width="16.85546875" style="448" customWidth="1"/>
    <col min="7438" max="7438" width="9.140625" style="448"/>
    <col min="7439" max="7439" width="11.85546875" style="448" customWidth="1"/>
    <col min="7440" max="7680" width="9.140625" style="448"/>
    <col min="7681" max="7681" width="6.85546875" style="448" bestFit="1" customWidth="1"/>
    <col min="7682" max="7682" width="24" style="448" customWidth="1"/>
    <col min="7683" max="7683" width="57.42578125" style="448" customWidth="1"/>
    <col min="7684" max="7684" width="7.140625" style="448" customWidth="1"/>
    <col min="7685" max="7685" width="9.28515625" style="448" customWidth="1"/>
    <col min="7686" max="7686" width="9.7109375" style="448" bestFit="1" customWidth="1"/>
    <col min="7687" max="7687" width="17.7109375" style="448" customWidth="1"/>
    <col min="7688" max="7688" width="9.140625" style="448"/>
    <col min="7689" max="7689" width="19" style="448" customWidth="1"/>
    <col min="7690" max="7690" width="10.85546875" style="448" customWidth="1"/>
    <col min="7691" max="7692" width="11" style="448" customWidth="1"/>
    <col min="7693" max="7693" width="16.85546875" style="448" customWidth="1"/>
    <col min="7694" max="7694" width="9.140625" style="448"/>
    <col min="7695" max="7695" width="11.85546875" style="448" customWidth="1"/>
    <col min="7696" max="7936" width="9.140625" style="448"/>
    <col min="7937" max="7937" width="6.85546875" style="448" bestFit="1" customWidth="1"/>
    <col min="7938" max="7938" width="24" style="448" customWidth="1"/>
    <col min="7939" max="7939" width="57.42578125" style="448" customWidth="1"/>
    <col min="7940" max="7940" width="7.140625" style="448" customWidth="1"/>
    <col min="7941" max="7941" width="9.28515625" style="448" customWidth="1"/>
    <col min="7942" max="7942" width="9.7109375" style="448" bestFit="1" customWidth="1"/>
    <col min="7943" max="7943" width="17.7109375" style="448" customWidth="1"/>
    <col min="7944" max="7944" width="9.140625" style="448"/>
    <col min="7945" max="7945" width="19" style="448" customWidth="1"/>
    <col min="7946" max="7946" width="10.85546875" style="448" customWidth="1"/>
    <col min="7947" max="7948" width="11" style="448" customWidth="1"/>
    <col min="7949" max="7949" width="16.85546875" style="448" customWidth="1"/>
    <col min="7950" max="7950" width="9.140625" style="448"/>
    <col min="7951" max="7951" width="11.85546875" style="448" customWidth="1"/>
    <col min="7952" max="8192" width="9.140625" style="448"/>
    <col min="8193" max="8193" width="6.85546875" style="448" bestFit="1" customWidth="1"/>
    <col min="8194" max="8194" width="24" style="448" customWidth="1"/>
    <col min="8195" max="8195" width="57.42578125" style="448" customWidth="1"/>
    <col min="8196" max="8196" width="7.140625" style="448" customWidth="1"/>
    <col min="8197" max="8197" width="9.28515625" style="448" customWidth="1"/>
    <col min="8198" max="8198" width="9.7109375" style="448" bestFit="1" customWidth="1"/>
    <col min="8199" max="8199" width="17.7109375" style="448" customWidth="1"/>
    <col min="8200" max="8200" width="9.140625" style="448"/>
    <col min="8201" max="8201" width="19" style="448" customWidth="1"/>
    <col min="8202" max="8202" width="10.85546875" style="448" customWidth="1"/>
    <col min="8203" max="8204" width="11" style="448" customWidth="1"/>
    <col min="8205" max="8205" width="16.85546875" style="448" customWidth="1"/>
    <col min="8206" max="8206" width="9.140625" style="448"/>
    <col min="8207" max="8207" width="11.85546875" style="448" customWidth="1"/>
    <col min="8208" max="8448" width="9.140625" style="448"/>
    <col min="8449" max="8449" width="6.85546875" style="448" bestFit="1" customWidth="1"/>
    <col min="8450" max="8450" width="24" style="448" customWidth="1"/>
    <col min="8451" max="8451" width="57.42578125" style="448" customWidth="1"/>
    <col min="8452" max="8452" width="7.140625" style="448" customWidth="1"/>
    <col min="8453" max="8453" width="9.28515625" style="448" customWidth="1"/>
    <col min="8454" max="8454" width="9.7109375" style="448" bestFit="1" customWidth="1"/>
    <col min="8455" max="8455" width="17.7109375" style="448" customWidth="1"/>
    <col min="8456" max="8456" width="9.140625" style="448"/>
    <col min="8457" max="8457" width="19" style="448" customWidth="1"/>
    <col min="8458" max="8458" width="10.85546875" style="448" customWidth="1"/>
    <col min="8459" max="8460" width="11" style="448" customWidth="1"/>
    <col min="8461" max="8461" width="16.85546875" style="448" customWidth="1"/>
    <col min="8462" max="8462" width="9.140625" style="448"/>
    <col min="8463" max="8463" width="11.85546875" style="448" customWidth="1"/>
    <col min="8464" max="8704" width="9.140625" style="448"/>
    <col min="8705" max="8705" width="6.85546875" style="448" bestFit="1" customWidth="1"/>
    <col min="8706" max="8706" width="24" style="448" customWidth="1"/>
    <col min="8707" max="8707" width="57.42578125" style="448" customWidth="1"/>
    <col min="8708" max="8708" width="7.140625" style="448" customWidth="1"/>
    <col min="8709" max="8709" width="9.28515625" style="448" customWidth="1"/>
    <col min="8710" max="8710" width="9.7109375" style="448" bestFit="1" customWidth="1"/>
    <col min="8711" max="8711" width="17.7109375" style="448" customWidth="1"/>
    <col min="8712" max="8712" width="9.140625" style="448"/>
    <col min="8713" max="8713" width="19" style="448" customWidth="1"/>
    <col min="8714" max="8714" width="10.85546875" style="448" customWidth="1"/>
    <col min="8715" max="8716" width="11" style="448" customWidth="1"/>
    <col min="8717" max="8717" width="16.85546875" style="448" customWidth="1"/>
    <col min="8718" max="8718" width="9.140625" style="448"/>
    <col min="8719" max="8719" width="11.85546875" style="448" customWidth="1"/>
    <col min="8720" max="8960" width="9.140625" style="448"/>
    <col min="8961" max="8961" width="6.85546875" style="448" bestFit="1" customWidth="1"/>
    <col min="8962" max="8962" width="24" style="448" customWidth="1"/>
    <col min="8963" max="8963" width="57.42578125" style="448" customWidth="1"/>
    <col min="8964" max="8964" width="7.140625" style="448" customWidth="1"/>
    <col min="8965" max="8965" width="9.28515625" style="448" customWidth="1"/>
    <col min="8966" max="8966" width="9.7109375" style="448" bestFit="1" customWidth="1"/>
    <col min="8967" max="8967" width="17.7109375" style="448" customWidth="1"/>
    <col min="8968" max="8968" width="9.140625" style="448"/>
    <col min="8969" max="8969" width="19" style="448" customWidth="1"/>
    <col min="8970" max="8970" width="10.85546875" style="448" customWidth="1"/>
    <col min="8971" max="8972" width="11" style="448" customWidth="1"/>
    <col min="8973" max="8973" width="16.85546875" style="448" customWidth="1"/>
    <col min="8974" max="8974" width="9.140625" style="448"/>
    <col min="8975" max="8975" width="11.85546875" style="448" customWidth="1"/>
    <col min="8976" max="9216" width="9.140625" style="448"/>
    <col min="9217" max="9217" width="6.85546875" style="448" bestFit="1" customWidth="1"/>
    <col min="9218" max="9218" width="24" style="448" customWidth="1"/>
    <col min="9219" max="9219" width="57.42578125" style="448" customWidth="1"/>
    <col min="9220" max="9220" width="7.140625" style="448" customWidth="1"/>
    <col min="9221" max="9221" width="9.28515625" style="448" customWidth="1"/>
    <col min="9222" max="9222" width="9.7109375" style="448" bestFit="1" customWidth="1"/>
    <col min="9223" max="9223" width="17.7109375" style="448" customWidth="1"/>
    <col min="9224" max="9224" width="9.140625" style="448"/>
    <col min="9225" max="9225" width="19" style="448" customWidth="1"/>
    <col min="9226" max="9226" width="10.85546875" style="448" customWidth="1"/>
    <col min="9227" max="9228" width="11" style="448" customWidth="1"/>
    <col min="9229" max="9229" width="16.85546875" style="448" customWidth="1"/>
    <col min="9230" max="9230" width="9.140625" style="448"/>
    <col min="9231" max="9231" width="11.85546875" style="448" customWidth="1"/>
    <col min="9232" max="9472" width="9.140625" style="448"/>
    <col min="9473" max="9473" width="6.85546875" style="448" bestFit="1" customWidth="1"/>
    <col min="9474" max="9474" width="24" style="448" customWidth="1"/>
    <col min="9475" max="9475" width="57.42578125" style="448" customWidth="1"/>
    <col min="9476" max="9476" width="7.140625" style="448" customWidth="1"/>
    <col min="9477" max="9477" width="9.28515625" style="448" customWidth="1"/>
    <col min="9478" max="9478" width="9.7109375" style="448" bestFit="1" customWidth="1"/>
    <col min="9479" max="9479" width="17.7109375" style="448" customWidth="1"/>
    <col min="9480" max="9480" width="9.140625" style="448"/>
    <col min="9481" max="9481" width="19" style="448" customWidth="1"/>
    <col min="9482" max="9482" width="10.85546875" style="448" customWidth="1"/>
    <col min="9483" max="9484" width="11" style="448" customWidth="1"/>
    <col min="9485" max="9485" width="16.85546875" style="448" customWidth="1"/>
    <col min="9486" max="9486" width="9.140625" style="448"/>
    <col min="9487" max="9487" width="11.85546875" style="448" customWidth="1"/>
    <col min="9488" max="9728" width="9.140625" style="448"/>
    <col min="9729" max="9729" width="6.85546875" style="448" bestFit="1" customWidth="1"/>
    <col min="9730" max="9730" width="24" style="448" customWidth="1"/>
    <col min="9731" max="9731" width="57.42578125" style="448" customWidth="1"/>
    <col min="9732" max="9732" width="7.140625" style="448" customWidth="1"/>
    <col min="9733" max="9733" width="9.28515625" style="448" customWidth="1"/>
    <col min="9734" max="9734" width="9.7109375" style="448" bestFit="1" customWidth="1"/>
    <col min="9735" max="9735" width="17.7109375" style="448" customWidth="1"/>
    <col min="9736" max="9736" width="9.140625" style="448"/>
    <col min="9737" max="9737" width="19" style="448" customWidth="1"/>
    <col min="9738" max="9738" width="10.85546875" style="448" customWidth="1"/>
    <col min="9739" max="9740" width="11" style="448" customWidth="1"/>
    <col min="9741" max="9741" width="16.85546875" style="448" customWidth="1"/>
    <col min="9742" max="9742" width="9.140625" style="448"/>
    <col min="9743" max="9743" width="11.85546875" style="448" customWidth="1"/>
    <col min="9744" max="9984" width="9.140625" style="448"/>
    <col min="9985" max="9985" width="6.85546875" style="448" bestFit="1" customWidth="1"/>
    <col min="9986" max="9986" width="24" style="448" customWidth="1"/>
    <col min="9987" max="9987" width="57.42578125" style="448" customWidth="1"/>
    <col min="9988" max="9988" width="7.140625" style="448" customWidth="1"/>
    <col min="9989" max="9989" width="9.28515625" style="448" customWidth="1"/>
    <col min="9990" max="9990" width="9.7109375" style="448" bestFit="1" customWidth="1"/>
    <col min="9991" max="9991" width="17.7109375" style="448" customWidth="1"/>
    <col min="9992" max="9992" width="9.140625" style="448"/>
    <col min="9993" max="9993" width="19" style="448" customWidth="1"/>
    <col min="9994" max="9994" width="10.85546875" style="448" customWidth="1"/>
    <col min="9995" max="9996" width="11" style="448" customWidth="1"/>
    <col min="9997" max="9997" width="16.85546875" style="448" customWidth="1"/>
    <col min="9998" max="9998" width="9.140625" style="448"/>
    <col min="9999" max="9999" width="11.85546875" style="448" customWidth="1"/>
    <col min="10000" max="10240" width="9.140625" style="448"/>
    <col min="10241" max="10241" width="6.85546875" style="448" bestFit="1" customWidth="1"/>
    <col min="10242" max="10242" width="24" style="448" customWidth="1"/>
    <col min="10243" max="10243" width="57.42578125" style="448" customWidth="1"/>
    <col min="10244" max="10244" width="7.140625" style="448" customWidth="1"/>
    <col min="10245" max="10245" width="9.28515625" style="448" customWidth="1"/>
    <col min="10246" max="10246" width="9.7109375" style="448" bestFit="1" customWidth="1"/>
    <col min="10247" max="10247" width="17.7109375" style="448" customWidth="1"/>
    <col min="10248" max="10248" width="9.140625" style="448"/>
    <col min="10249" max="10249" width="19" style="448" customWidth="1"/>
    <col min="10250" max="10250" width="10.85546875" style="448" customWidth="1"/>
    <col min="10251" max="10252" width="11" style="448" customWidth="1"/>
    <col min="10253" max="10253" width="16.85546875" style="448" customWidth="1"/>
    <col min="10254" max="10254" width="9.140625" style="448"/>
    <col min="10255" max="10255" width="11.85546875" style="448" customWidth="1"/>
    <col min="10256" max="10496" width="9.140625" style="448"/>
    <col min="10497" max="10497" width="6.85546875" style="448" bestFit="1" customWidth="1"/>
    <col min="10498" max="10498" width="24" style="448" customWidth="1"/>
    <col min="10499" max="10499" width="57.42578125" style="448" customWidth="1"/>
    <col min="10500" max="10500" width="7.140625" style="448" customWidth="1"/>
    <col min="10501" max="10501" width="9.28515625" style="448" customWidth="1"/>
    <col min="10502" max="10502" width="9.7109375" style="448" bestFit="1" customWidth="1"/>
    <col min="10503" max="10503" width="17.7109375" style="448" customWidth="1"/>
    <col min="10504" max="10504" width="9.140625" style="448"/>
    <col min="10505" max="10505" width="19" style="448" customWidth="1"/>
    <col min="10506" max="10506" width="10.85546875" style="448" customWidth="1"/>
    <col min="10507" max="10508" width="11" style="448" customWidth="1"/>
    <col min="10509" max="10509" width="16.85546875" style="448" customWidth="1"/>
    <col min="10510" max="10510" width="9.140625" style="448"/>
    <col min="10511" max="10511" width="11.85546875" style="448" customWidth="1"/>
    <col min="10512" max="10752" width="9.140625" style="448"/>
    <col min="10753" max="10753" width="6.85546875" style="448" bestFit="1" customWidth="1"/>
    <col min="10754" max="10754" width="24" style="448" customWidth="1"/>
    <col min="10755" max="10755" width="57.42578125" style="448" customWidth="1"/>
    <col min="10756" max="10756" width="7.140625" style="448" customWidth="1"/>
    <col min="10757" max="10757" width="9.28515625" style="448" customWidth="1"/>
    <col min="10758" max="10758" width="9.7109375" style="448" bestFit="1" customWidth="1"/>
    <col min="10759" max="10759" width="17.7109375" style="448" customWidth="1"/>
    <col min="10760" max="10760" width="9.140625" style="448"/>
    <col min="10761" max="10761" width="19" style="448" customWidth="1"/>
    <col min="10762" max="10762" width="10.85546875" style="448" customWidth="1"/>
    <col min="10763" max="10764" width="11" style="448" customWidth="1"/>
    <col min="10765" max="10765" width="16.85546875" style="448" customWidth="1"/>
    <col min="10766" max="10766" width="9.140625" style="448"/>
    <col min="10767" max="10767" width="11.85546875" style="448" customWidth="1"/>
    <col min="10768" max="11008" width="9.140625" style="448"/>
    <col min="11009" max="11009" width="6.85546875" style="448" bestFit="1" customWidth="1"/>
    <col min="11010" max="11010" width="24" style="448" customWidth="1"/>
    <col min="11011" max="11011" width="57.42578125" style="448" customWidth="1"/>
    <col min="11012" max="11012" width="7.140625" style="448" customWidth="1"/>
    <col min="11013" max="11013" width="9.28515625" style="448" customWidth="1"/>
    <col min="11014" max="11014" width="9.7109375" style="448" bestFit="1" customWidth="1"/>
    <col min="11015" max="11015" width="17.7109375" style="448" customWidth="1"/>
    <col min="11016" max="11016" width="9.140625" style="448"/>
    <col min="11017" max="11017" width="19" style="448" customWidth="1"/>
    <col min="11018" max="11018" width="10.85546875" style="448" customWidth="1"/>
    <col min="11019" max="11020" width="11" style="448" customWidth="1"/>
    <col min="11021" max="11021" width="16.85546875" style="448" customWidth="1"/>
    <col min="11022" max="11022" width="9.140625" style="448"/>
    <col min="11023" max="11023" width="11.85546875" style="448" customWidth="1"/>
    <col min="11024" max="11264" width="9.140625" style="448"/>
    <col min="11265" max="11265" width="6.85546875" style="448" bestFit="1" customWidth="1"/>
    <col min="11266" max="11266" width="24" style="448" customWidth="1"/>
    <col min="11267" max="11267" width="57.42578125" style="448" customWidth="1"/>
    <col min="11268" max="11268" width="7.140625" style="448" customWidth="1"/>
    <col min="11269" max="11269" width="9.28515625" style="448" customWidth="1"/>
    <col min="11270" max="11270" width="9.7109375" style="448" bestFit="1" customWidth="1"/>
    <col min="11271" max="11271" width="17.7109375" style="448" customWidth="1"/>
    <col min="11272" max="11272" width="9.140625" style="448"/>
    <col min="11273" max="11273" width="19" style="448" customWidth="1"/>
    <col min="11274" max="11274" width="10.85546875" style="448" customWidth="1"/>
    <col min="11275" max="11276" width="11" style="448" customWidth="1"/>
    <col min="11277" max="11277" width="16.85546875" style="448" customWidth="1"/>
    <col min="11278" max="11278" width="9.140625" style="448"/>
    <col min="11279" max="11279" width="11.85546875" style="448" customWidth="1"/>
    <col min="11280" max="11520" width="9.140625" style="448"/>
    <col min="11521" max="11521" width="6.85546875" style="448" bestFit="1" customWidth="1"/>
    <col min="11522" max="11522" width="24" style="448" customWidth="1"/>
    <col min="11523" max="11523" width="57.42578125" style="448" customWidth="1"/>
    <col min="11524" max="11524" width="7.140625" style="448" customWidth="1"/>
    <col min="11525" max="11525" width="9.28515625" style="448" customWidth="1"/>
    <col min="11526" max="11526" width="9.7109375" style="448" bestFit="1" customWidth="1"/>
    <col min="11527" max="11527" width="17.7109375" style="448" customWidth="1"/>
    <col min="11528" max="11528" width="9.140625" style="448"/>
    <col min="11529" max="11529" width="19" style="448" customWidth="1"/>
    <col min="11530" max="11530" width="10.85546875" style="448" customWidth="1"/>
    <col min="11531" max="11532" width="11" style="448" customWidth="1"/>
    <col min="11533" max="11533" width="16.85546875" style="448" customWidth="1"/>
    <col min="11534" max="11534" width="9.140625" style="448"/>
    <col min="11535" max="11535" width="11.85546875" style="448" customWidth="1"/>
    <col min="11536" max="11776" width="9.140625" style="448"/>
    <col min="11777" max="11777" width="6.85546875" style="448" bestFit="1" customWidth="1"/>
    <col min="11778" max="11778" width="24" style="448" customWidth="1"/>
    <col min="11779" max="11779" width="57.42578125" style="448" customWidth="1"/>
    <col min="11780" max="11780" width="7.140625" style="448" customWidth="1"/>
    <col min="11781" max="11781" width="9.28515625" style="448" customWidth="1"/>
    <col min="11782" max="11782" width="9.7109375" style="448" bestFit="1" customWidth="1"/>
    <col min="11783" max="11783" width="17.7109375" style="448" customWidth="1"/>
    <col min="11784" max="11784" width="9.140625" style="448"/>
    <col min="11785" max="11785" width="19" style="448" customWidth="1"/>
    <col min="11786" max="11786" width="10.85546875" style="448" customWidth="1"/>
    <col min="11787" max="11788" width="11" style="448" customWidth="1"/>
    <col min="11789" max="11789" width="16.85546875" style="448" customWidth="1"/>
    <col min="11790" max="11790" width="9.140625" style="448"/>
    <col min="11791" max="11791" width="11.85546875" style="448" customWidth="1"/>
    <col min="11792" max="12032" width="9.140625" style="448"/>
    <col min="12033" max="12033" width="6.85546875" style="448" bestFit="1" customWidth="1"/>
    <col min="12034" max="12034" width="24" style="448" customWidth="1"/>
    <col min="12035" max="12035" width="57.42578125" style="448" customWidth="1"/>
    <col min="12036" max="12036" width="7.140625" style="448" customWidth="1"/>
    <col min="12037" max="12037" width="9.28515625" style="448" customWidth="1"/>
    <col min="12038" max="12038" width="9.7109375" style="448" bestFit="1" customWidth="1"/>
    <col min="12039" max="12039" width="17.7109375" style="448" customWidth="1"/>
    <col min="12040" max="12040" width="9.140625" style="448"/>
    <col min="12041" max="12041" width="19" style="448" customWidth="1"/>
    <col min="12042" max="12042" width="10.85546875" style="448" customWidth="1"/>
    <col min="12043" max="12044" width="11" style="448" customWidth="1"/>
    <col min="12045" max="12045" width="16.85546875" style="448" customWidth="1"/>
    <col min="12046" max="12046" width="9.140625" style="448"/>
    <col min="12047" max="12047" width="11.85546875" style="448" customWidth="1"/>
    <col min="12048" max="12288" width="9.140625" style="448"/>
    <col min="12289" max="12289" width="6.85546875" style="448" bestFit="1" customWidth="1"/>
    <col min="12290" max="12290" width="24" style="448" customWidth="1"/>
    <col min="12291" max="12291" width="57.42578125" style="448" customWidth="1"/>
    <col min="12292" max="12292" width="7.140625" style="448" customWidth="1"/>
    <col min="12293" max="12293" width="9.28515625" style="448" customWidth="1"/>
    <col min="12294" max="12294" width="9.7109375" style="448" bestFit="1" customWidth="1"/>
    <col min="12295" max="12295" width="17.7109375" style="448" customWidth="1"/>
    <col min="12296" max="12296" width="9.140625" style="448"/>
    <col min="12297" max="12297" width="19" style="448" customWidth="1"/>
    <col min="12298" max="12298" width="10.85546875" style="448" customWidth="1"/>
    <col min="12299" max="12300" width="11" style="448" customWidth="1"/>
    <col min="12301" max="12301" width="16.85546875" style="448" customWidth="1"/>
    <col min="12302" max="12302" width="9.140625" style="448"/>
    <col min="12303" max="12303" width="11.85546875" style="448" customWidth="1"/>
    <col min="12304" max="12544" width="9.140625" style="448"/>
    <col min="12545" max="12545" width="6.85546875" style="448" bestFit="1" customWidth="1"/>
    <col min="12546" max="12546" width="24" style="448" customWidth="1"/>
    <col min="12547" max="12547" width="57.42578125" style="448" customWidth="1"/>
    <col min="12548" max="12548" width="7.140625" style="448" customWidth="1"/>
    <col min="12549" max="12549" width="9.28515625" style="448" customWidth="1"/>
    <col min="12550" max="12550" width="9.7109375" style="448" bestFit="1" customWidth="1"/>
    <col min="12551" max="12551" width="17.7109375" style="448" customWidth="1"/>
    <col min="12552" max="12552" width="9.140625" style="448"/>
    <col min="12553" max="12553" width="19" style="448" customWidth="1"/>
    <col min="12554" max="12554" width="10.85546875" style="448" customWidth="1"/>
    <col min="12555" max="12556" width="11" style="448" customWidth="1"/>
    <col min="12557" max="12557" width="16.85546875" style="448" customWidth="1"/>
    <col min="12558" max="12558" width="9.140625" style="448"/>
    <col min="12559" max="12559" width="11.85546875" style="448" customWidth="1"/>
    <col min="12560" max="12800" width="9.140625" style="448"/>
    <col min="12801" max="12801" width="6.85546875" style="448" bestFit="1" customWidth="1"/>
    <col min="12802" max="12802" width="24" style="448" customWidth="1"/>
    <col min="12803" max="12803" width="57.42578125" style="448" customWidth="1"/>
    <col min="12804" max="12804" width="7.140625" style="448" customWidth="1"/>
    <col min="12805" max="12805" width="9.28515625" style="448" customWidth="1"/>
    <col min="12806" max="12806" width="9.7109375" style="448" bestFit="1" customWidth="1"/>
    <col min="12807" max="12807" width="17.7109375" style="448" customWidth="1"/>
    <col min="12808" max="12808" width="9.140625" style="448"/>
    <col min="12809" max="12809" width="19" style="448" customWidth="1"/>
    <col min="12810" max="12810" width="10.85546875" style="448" customWidth="1"/>
    <col min="12811" max="12812" width="11" style="448" customWidth="1"/>
    <col min="12813" max="12813" width="16.85546875" style="448" customWidth="1"/>
    <col min="12814" max="12814" width="9.140625" style="448"/>
    <col min="12815" max="12815" width="11.85546875" style="448" customWidth="1"/>
    <col min="12816" max="13056" width="9.140625" style="448"/>
    <col min="13057" max="13057" width="6.85546875" style="448" bestFit="1" customWidth="1"/>
    <col min="13058" max="13058" width="24" style="448" customWidth="1"/>
    <col min="13059" max="13059" width="57.42578125" style="448" customWidth="1"/>
    <col min="13060" max="13060" width="7.140625" style="448" customWidth="1"/>
    <col min="13061" max="13061" width="9.28515625" style="448" customWidth="1"/>
    <col min="13062" max="13062" width="9.7109375" style="448" bestFit="1" customWidth="1"/>
    <col min="13063" max="13063" width="17.7109375" style="448" customWidth="1"/>
    <col min="13064" max="13064" width="9.140625" style="448"/>
    <col min="13065" max="13065" width="19" style="448" customWidth="1"/>
    <col min="13066" max="13066" width="10.85546875" style="448" customWidth="1"/>
    <col min="13067" max="13068" width="11" style="448" customWidth="1"/>
    <col min="13069" max="13069" width="16.85546875" style="448" customWidth="1"/>
    <col min="13070" max="13070" width="9.140625" style="448"/>
    <col min="13071" max="13071" width="11.85546875" style="448" customWidth="1"/>
    <col min="13072" max="13312" width="9.140625" style="448"/>
    <col min="13313" max="13313" width="6.85546875" style="448" bestFit="1" customWidth="1"/>
    <col min="13314" max="13314" width="24" style="448" customWidth="1"/>
    <col min="13315" max="13315" width="57.42578125" style="448" customWidth="1"/>
    <col min="13316" max="13316" width="7.140625" style="448" customWidth="1"/>
    <col min="13317" max="13317" width="9.28515625" style="448" customWidth="1"/>
    <col min="13318" max="13318" width="9.7109375" style="448" bestFit="1" customWidth="1"/>
    <col min="13319" max="13319" width="17.7109375" style="448" customWidth="1"/>
    <col min="13320" max="13320" width="9.140625" style="448"/>
    <col min="13321" max="13321" width="19" style="448" customWidth="1"/>
    <col min="13322" max="13322" width="10.85546875" style="448" customWidth="1"/>
    <col min="13323" max="13324" width="11" style="448" customWidth="1"/>
    <col min="13325" max="13325" width="16.85546875" style="448" customWidth="1"/>
    <col min="13326" max="13326" width="9.140625" style="448"/>
    <col min="13327" max="13327" width="11.85546875" style="448" customWidth="1"/>
    <col min="13328" max="13568" width="9.140625" style="448"/>
    <col min="13569" max="13569" width="6.85546875" style="448" bestFit="1" customWidth="1"/>
    <col min="13570" max="13570" width="24" style="448" customWidth="1"/>
    <col min="13571" max="13571" width="57.42578125" style="448" customWidth="1"/>
    <col min="13572" max="13572" width="7.140625" style="448" customWidth="1"/>
    <col min="13573" max="13573" width="9.28515625" style="448" customWidth="1"/>
    <col min="13574" max="13574" width="9.7109375" style="448" bestFit="1" customWidth="1"/>
    <col min="13575" max="13575" width="17.7109375" style="448" customWidth="1"/>
    <col min="13576" max="13576" width="9.140625" style="448"/>
    <col min="13577" max="13577" width="19" style="448" customWidth="1"/>
    <col min="13578" max="13578" width="10.85546875" style="448" customWidth="1"/>
    <col min="13579" max="13580" width="11" style="448" customWidth="1"/>
    <col min="13581" max="13581" width="16.85546875" style="448" customWidth="1"/>
    <col min="13582" max="13582" width="9.140625" style="448"/>
    <col min="13583" max="13583" width="11.85546875" style="448" customWidth="1"/>
    <col min="13584" max="13824" width="9.140625" style="448"/>
    <col min="13825" max="13825" width="6.85546875" style="448" bestFit="1" customWidth="1"/>
    <col min="13826" max="13826" width="24" style="448" customWidth="1"/>
    <col min="13827" max="13827" width="57.42578125" style="448" customWidth="1"/>
    <col min="13828" max="13828" width="7.140625" style="448" customWidth="1"/>
    <col min="13829" max="13829" width="9.28515625" style="448" customWidth="1"/>
    <col min="13830" max="13830" width="9.7109375" style="448" bestFit="1" customWidth="1"/>
    <col min="13831" max="13831" width="17.7109375" style="448" customWidth="1"/>
    <col min="13832" max="13832" width="9.140625" style="448"/>
    <col min="13833" max="13833" width="19" style="448" customWidth="1"/>
    <col min="13834" max="13834" width="10.85546875" style="448" customWidth="1"/>
    <col min="13835" max="13836" width="11" style="448" customWidth="1"/>
    <col min="13837" max="13837" width="16.85546875" style="448" customWidth="1"/>
    <col min="13838" max="13838" width="9.140625" style="448"/>
    <col min="13839" max="13839" width="11.85546875" style="448" customWidth="1"/>
    <col min="13840" max="14080" width="9.140625" style="448"/>
    <col min="14081" max="14081" width="6.85546875" style="448" bestFit="1" customWidth="1"/>
    <col min="14082" max="14082" width="24" style="448" customWidth="1"/>
    <col min="14083" max="14083" width="57.42578125" style="448" customWidth="1"/>
    <col min="14084" max="14084" width="7.140625" style="448" customWidth="1"/>
    <col min="14085" max="14085" width="9.28515625" style="448" customWidth="1"/>
    <col min="14086" max="14086" width="9.7109375" style="448" bestFit="1" customWidth="1"/>
    <col min="14087" max="14087" width="17.7109375" style="448" customWidth="1"/>
    <col min="14088" max="14088" width="9.140625" style="448"/>
    <col min="14089" max="14089" width="19" style="448" customWidth="1"/>
    <col min="14090" max="14090" width="10.85546875" style="448" customWidth="1"/>
    <col min="14091" max="14092" width="11" style="448" customWidth="1"/>
    <col min="14093" max="14093" width="16.85546875" style="448" customWidth="1"/>
    <col min="14094" max="14094" width="9.140625" style="448"/>
    <col min="14095" max="14095" width="11.85546875" style="448" customWidth="1"/>
    <col min="14096" max="14336" width="9.140625" style="448"/>
    <col min="14337" max="14337" width="6.85546875" style="448" bestFit="1" customWidth="1"/>
    <col min="14338" max="14338" width="24" style="448" customWidth="1"/>
    <col min="14339" max="14339" width="57.42578125" style="448" customWidth="1"/>
    <col min="14340" max="14340" width="7.140625" style="448" customWidth="1"/>
    <col min="14341" max="14341" width="9.28515625" style="448" customWidth="1"/>
    <col min="14342" max="14342" width="9.7109375" style="448" bestFit="1" customWidth="1"/>
    <col min="14343" max="14343" width="17.7109375" style="448" customWidth="1"/>
    <col min="14344" max="14344" width="9.140625" style="448"/>
    <col min="14345" max="14345" width="19" style="448" customWidth="1"/>
    <col min="14346" max="14346" width="10.85546875" style="448" customWidth="1"/>
    <col min="14347" max="14348" width="11" style="448" customWidth="1"/>
    <col min="14349" max="14349" width="16.85546875" style="448" customWidth="1"/>
    <col min="14350" max="14350" width="9.140625" style="448"/>
    <col min="14351" max="14351" width="11.85546875" style="448" customWidth="1"/>
    <col min="14352" max="14592" width="9.140625" style="448"/>
    <col min="14593" max="14593" width="6.85546875" style="448" bestFit="1" customWidth="1"/>
    <col min="14594" max="14594" width="24" style="448" customWidth="1"/>
    <col min="14595" max="14595" width="57.42578125" style="448" customWidth="1"/>
    <col min="14596" max="14596" width="7.140625" style="448" customWidth="1"/>
    <col min="14597" max="14597" width="9.28515625" style="448" customWidth="1"/>
    <col min="14598" max="14598" width="9.7109375" style="448" bestFit="1" customWidth="1"/>
    <col min="14599" max="14599" width="17.7109375" style="448" customWidth="1"/>
    <col min="14600" max="14600" width="9.140625" style="448"/>
    <col min="14601" max="14601" width="19" style="448" customWidth="1"/>
    <col min="14602" max="14602" width="10.85546875" style="448" customWidth="1"/>
    <col min="14603" max="14604" width="11" style="448" customWidth="1"/>
    <col min="14605" max="14605" width="16.85546875" style="448" customWidth="1"/>
    <col min="14606" max="14606" width="9.140625" style="448"/>
    <col min="14607" max="14607" width="11.85546875" style="448" customWidth="1"/>
    <col min="14608" max="14848" width="9.140625" style="448"/>
    <col min="14849" max="14849" width="6.85546875" style="448" bestFit="1" customWidth="1"/>
    <col min="14850" max="14850" width="24" style="448" customWidth="1"/>
    <col min="14851" max="14851" width="57.42578125" style="448" customWidth="1"/>
    <col min="14852" max="14852" width="7.140625" style="448" customWidth="1"/>
    <col min="14853" max="14853" width="9.28515625" style="448" customWidth="1"/>
    <col min="14854" max="14854" width="9.7109375" style="448" bestFit="1" customWidth="1"/>
    <col min="14855" max="14855" width="17.7109375" style="448" customWidth="1"/>
    <col min="14856" max="14856" width="9.140625" style="448"/>
    <col min="14857" max="14857" width="19" style="448" customWidth="1"/>
    <col min="14858" max="14858" width="10.85546875" style="448" customWidth="1"/>
    <col min="14859" max="14860" width="11" style="448" customWidth="1"/>
    <col min="14861" max="14861" width="16.85546875" style="448" customWidth="1"/>
    <col min="14862" max="14862" width="9.140625" style="448"/>
    <col min="14863" max="14863" width="11.85546875" style="448" customWidth="1"/>
    <col min="14864" max="15104" width="9.140625" style="448"/>
    <col min="15105" max="15105" width="6.85546875" style="448" bestFit="1" customWidth="1"/>
    <col min="15106" max="15106" width="24" style="448" customWidth="1"/>
    <col min="15107" max="15107" width="57.42578125" style="448" customWidth="1"/>
    <col min="15108" max="15108" width="7.140625" style="448" customWidth="1"/>
    <col min="15109" max="15109" width="9.28515625" style="448" customWidth="1"/>
    <col min="15110" max="15110" width="9.7109375" style="448" bestFit="1" customWidth="1"/>
    <col min="15111" max="15111" width="17.7109375" style="448" customWidth="1"/>
    <col min="15112" max="15112" width="9.140625" style="448"/>
    <col min="15113" max="15113" width="19" style="448" customWidth="1"/>
    <col min="15114" max="15114" width="10.85546875" style="448" customWidth="1"/>
    <col min="15115" max="15116" width="11" style="448" customWidth="1"/>
    <col min="15117" max="15117" width="16.85546875" style="448" customWidth="1"/>
    <col min="15118" max="15118" width="9.140625" style="448"/>
    <col min="15119" max="15119" width="11.85546875" style="448" customWidth="1"/>
    <col min="15120" max="15360" width="9.140625" style="448"/>
    <col min="15361" max="15361" width="6.85546875" style="448" bestFit="1" customWidth="1"/>
    <col min="15362" max="15362" width="24" style="448" customWidth="1"/>
    <col min="15363" max="15363" width="57.42578125" style="448" customWidth="1"/>
    <col min="15364" max="15364" width="7.140625" style="448" customWidth="1"/>
    <col min="15365" max="15365" width="9.28515625" style="448" customWidth="1"/>
    <col min="15366" max="15366" width="9.7109375" style="448" bestFit="1" customWidth="1"/>
    <col min="15367" max="15367" width="17.7109375" style="448" customWidth="1"/>
    <col min="15368" max="15368" width="9.140625" style="448"/>
    <col min="15369" max="15369" width="19" style="448" customWidth="1"/>
    <col min="15370" max="15370" width="10.85546875" style="448" customWidth="1"/>
    <col min="15371" max="15372" width="11" style="448" customWidth="1"/>
    <col min="15373" max="15373" width="16.85546875" style="448" customWidth="1"/>
    <col min="15374" max="15374" width="9.140625" style="448"/>
    <col min="15375" max="15375" width="11.85546875" style="448" customWidth="1"/>
    <col min="15376" max="15616" width="9.140625" style="448"/>
    <col min="15617" max="15617" width="6.85546875" style="448" bestFit="1" customWidth="1"/>
    <col min="15618" max="15618" width="24" style="448" customWidth="1"/>
    <col min="15619" max="15619" width="57.42578125" style="448" customWidth="1"/>
    <col min="15620" max="15620" width="7.140625" style="448" customWidth="1"/>
    <col min="15621" max="15621" width="9.28515625" style="448" customWidth="1"/>
    <col min="15622" max="15622" width="9.7109375" style="448" bestFit="1" customWidth="1"/>
    <col min="15623" max="15623" width="17.7109375" style="448" customWidth="1"/>
    <col min="15624" max="15624" width="9.140625" style="448"/>
    <col min="15625" max="15625" width="19" style="448" customWidth="1"/>
    <col min="15626" max="15626" width="10.85546875" style="448" customWidth="1"/>
    <col min="15627" max="15628" width="11" style="448" customWidth="1"/>
    <col min="15629" max="15629" width="16.85546875" style="448" customWidth="1"/>
    <col min="15630" max="15630" width="9.140625" style="448"/>
    <col min="15631" max="15631" width="11.85546875" style="448" customWidth="1"/>
    <col min="15632" max="15872" width="9.140625" style="448"/>
    <col min="15873" max="15873" width="6.85546875" style="448" bestFit="1" customWidth="1"/>
    <col min="15874" max="15874" width="24" style="448" customWidth="1"/>
    <col min="15875" max="15875" width="57.42578125" style="448" customWidth="1"/>
    <col min="15876" max="15876" width="7.140625" style="448" customWidth="1"/>
    <col min="15877" max="15877" width="9.28515625" style="448" customWidth="1"/>
    <col min="15878" max="15878" width="9.7109375" style="448" bestFit="1" customWidth="1"/>
    <col min="15879" max="15879" width="17.7109375" style="448" customWidth="1"/>
    <col min="15880" max="15880" width="9.140625" style="448"/>
    <col min="15881" max="15881" width="19" style="448" customWidth="1"/>
    <col min="15882" max="15882" width="10.85546875" style="448" customWidth="1"/>
    <col min="15883" max="15884" width="11" style="448" customWidth="1"/>
    <col min="15885" max="15885" width="16.85546875" style="448" customWidth="1"/>
    <col min="15886" max="15886" width="9.140625" style="448"/>
    <col min="15887" max="15887" width="11.85546875" style="448" customWidth="1"/>
    <col min="15888" max="16128" width="9.140625" style="448"/>
    <col min="16129" max="16129" width="6.85546875" style="448" bestFit="1" customWidth="1"/>
    <col min="16130" max="16130" width="24" style="448" customWidth="1"/>
    <col min="16131" max="16131" width="57.42578125" style="448" customWidth="1"/>
    <col min="16132" max="16132" width="7.140625" style="448" customWidth="1"/>
    <col min="16133" max="16133" width="9.28515625" style="448" customWidth="1"/>
    <col min="16134" max="16134" width="9.7109375" style="448" bestFit="1" customWidth="1"/>
    <col min="16135" max="16135" width="17.7109375" style="448" customWidth="1"/>
    <col min="16136" max="16136" width="9.140625" style="448"/>
    <col min="16137" max="16137" width="19" style="448" customWidth="1"/>
    <col min="16138" max="16138" width="10.85546875" style="448" customWidth="1"/>
    <col min="16139" max="16140" width="11" style="448" customWidth="1"/>
    <col min="16141" max="16141" width="16.85546875" style="448" customWidth="1"/>
    <col min="16142" max="16142" width="9.140625" style="448"/>
    <col min="16143" max="16143" width="11.85546875" style="448" customWidth="1"/>
    <col min="16144" max="16384" width="9.140625" style="448"/>
  </cols>
  <sheetData>
    <row r="1" spans="1:12" s="438" customFormat="1" ht="12.75" customHeight="1" x14ac:dyDescent="0.2">
      <c r="A1" s="867" t="s">
        <v>1210</v>
      </c>
      <c r="B1" s="868"/>
      <c r="C1" s="868"/>
      <c r="D1" s="868"/>
      <c r="E1" s="875"/>
      <c r="F1" s="539"/>
      <c r="G1" s="540"/>
      <c r="H1" s="448"/>
      <c r="I1" s="448"/>
      <c r="J1" s="448"/>
      <c r="K1" s="448"/>
      <c r="L1" s="448"/>
    </row>
    <row r="2" spans="1:12" s="438" customFormat="1" ht="12.75" customHeight="1" x14ac:dyDescent="0.2">
      <c r="A2" s="871" t="s">
        <v>53</v>
      </c>
      <c r="B2" s="872"/>
      <c r="C2" s="872"/>
      <c r="D2" s="872"/>
      <c r="E2" s="876"/>
      <c r="F2" s="539"/>
      <c r="G2" s="540"/>
      <c r="H2" s="448"/>
      <c r="I2" s="448"/>
      <c r="J2" s="448"/>
      <c r="K2" s="448"/>
      <c r="L2" s="448"/>
    </row>
    <row r="3" spans="1:12" x14ac:dyDescent="0.2">
      <c r="A3" s="439" t="s">
        <v>54</v>
      </c>
      <c r="B3" s="440" t="s">
        <v>55</v>
      </c>
      <c r="C3" s="441" t="s">
        <v>56</v>
      </c>
      <c r="D3" s="440" t="s">
        <v>57</v>
      </c>
      <c r="E3" s="541" t="s">
        <v>58</v>
      </c>
      <c r="F3" s="539"/>
      <c r="G3" s="540"/>
    </row>
    <row r="4" spans="1:12" ht="57.75" customHeight="1" x14ac:dyDescent="0.2">
      <c r="A4" s="270" t="s">
        <v>15</v>
      </c>
      <c r="B4" s="442" t="s">
        <v>5086</v>
      </c>
      <c r="C4" s="542" t="s">
        <v>5087</v>
      </c>
      <c r="D4" s="444" t="s">
        <v>9</v>
      </c>
      <c r="E4" s="543">
        <f>378.45+1.52+98.4+1.89</f>
        <v>480.26</v>
      </c>
      <c r="F4" s="544">
        <f>ROUND(E4,2)</f>
        <v>480.26</v>
      </c>
      <c r="G4" s="545" t="s">
        <v>1194</v>
      </c>
    </row>
    <row r="5" spans="1:12" s="438" customFormat="1" x14ac:dyDescent="0.2">
      <c r="A5" s="858" t="s">
        <v>72</v>
      </c>
      <c r="B5" s="859"/>
      <c r="C5" s="859"/>
      <c r="D5" s="859"/>
      <c r="E5" s="874"/>
      <c r="F5" s="544"/>
      <c r="G5" s="540"/>
      <c r="H5" s="448"/>
      <c r="I5" s="448"/>
      <c r="J5" s="448"/>
      <c r="K5" s="448"/>
      <c r="L5" s="448"/>
    </row>
    <row r="6" spans="1:12" s="438" customFormat="1" x14ac:dyDescent="0.2">
      <c r="A6" s="439" t="s">
        <v>54</v>
      </c>
      <c r="B6" s="440" t="s">
        <v>55</v>
      </c>
      <c r="C6" s="441" t="s">
        <v>56</v>
      </c>
      <c r="D6" s="440" t="s">
        <v>57</v>
      </c>
      <c r="E6" s="541" t="s">
        <v>58</v>
      </c>
      <c r="F6" s="544"/>
      <c r="G6" s="540"/>
      <c r="H6" s="448"/>
      <c r="I6" s="448"/>
      <c r="J6" s="448"/>
      <c r="K6" s="448"/>
      <c r="L6" s="448"/>
    </row>
    <row r="7" spans="1:12" ht="140.25" x14ac:dyDescent="0.2">
      <c r="A7" s="457" t="s">
        <v>17</v>
      </c>
      <c r="B7" s="442" t="s">
        <v>5088</v>
      </c>
      <c r="C7" s="459" t="s">
        <v>5089</v>
      </c>
      <c r="D7" s="468" t="s">
        <v>9</v>
      </c>
      <c r="E7" s="546">
        <f>181.62+59.86+61.17+3.75+53.4+53.4+23.55</f>
        <v>436.75</v>
      </c>
      <c r="F7" s="544">
        <f>ROUND(E7,2)</f>
        <v>436.75</v>
      </c>
      <c r="G7" s="540" t="s">
        <v>1194</v>
      </c>
    </row>
    <row r="8" spans="1:12" x14ac:dyDescent="0.2">
      <c r="A8" s="866" t="s">
        <v>5090</v>
      </c>
      <c r="B8" s="865"/>
      <c r="C8" s="865"/>
      <c r="D8" s="865"/>
      <c r="E8" s="873"/>
      <c r="F8" s="544"/>
      <c r="G8" s="540"/>
    </row>
    <row r="9" spans="1:12" x14ac:dyDescent="0.2">
      <c r="A9" s="439" t="s">
        <v>54</v>
      </c>
      <c r="B9" s="440" t="s">
        <v>55</v>
      </c>
      <c r="C9" s="441" t="s">
        <v>56</v>
      </c>
      <c r="D9" s="440" t="s">
        <v>57</v>
      </c>
      <c r="E9" s="541" t="s">
        <v>58</v>
      </c>
      <c r="F9" s="544"/>
      <c r="G9" s="540"/>
    </row>
    <row r="10" spans="1:12" ht="38.25" x14ac:dyDescent="0.2">
      <c r="A10" s="457" t="s">
        <v>21</v>
      </c>
      <c r="B10" s="453" t="s">
        <v>5091</v>
      </c>
      <c r="C10" s="547" t="s">
        <v>5092</v>
      </c>
      <c r="D10" s="468" t="s">
        <v>75</v>
      </c>
      <c r="E10" s="548">
        <f>(1.3*8)+(1.2*2)</f>
        <v>12.8</v>
      </c>
      <c r="F10" s="544">
        <f t="shared" ref="F10" si="0">ROUND(E10,2)</f>
        <v>12.8</v>
      </c>
      <c r="G10" s="540" t="s">
        <v>1194</v>
      </c>
    </row>
    <row r="11" spans="1:12" x14ac:dyDescent="0.2">
      <c r="A11" s="457" t="s">
        <v>22</v>
      </c>
      <c r="B11" s="453" t="s">
        <v>5093</v>
      </c>
      <c r="C11" s="467" t="s">
        <v>5094</v>
      </c>
      <c r="D11" s="468" t="s">
        <v>75</v>
      </c>
      <c r="E11" s="548">
        <f>5*1.2</f>
        <v>6</v>
      </c>
      <c r="F11" s="544">
        <f>ROUND(E11,2)</f>
        <v>6</v>
      </c>
      <c r="G11" s="540" t="s">
        <v>1194</v>
      </c>
    </row>
    <row r="12" spans="1:12" ht="25.5" x14ac:dyDescent="0.2">
      <c r="A12" s="457" t="s">
        <v>23</v>
      </c>
      <c r="B12" s="453" t="s">
        <v>5095</v>
      </c>
      <c r="C12" s="467" t="s">
        <v>5096</v>
      </c>
      <c r="D12" s="468" t="s">
        <v>75</v>
      </c>
      <c r="E12" s="548">
        <f>2.4*8</f>
        <v>19.2</v>
      </c>
      <c r="F12" s="544">
        <f>ROUND(E12,2)</f>
        <v>19.2</v>
      </c>
      <c r="G12" s="540" t="s">
        <v>1194</v>
      </c>
    </row>
    <row r="13" spans="1:12" x14ac:dyDescent="0.2">
      <c r="A13" s="457" t="s">
        <v>434</v>
      </c>
      <c r="B13" s="453" t="s">
        <v>5097</v>
      </c>
      <c r="C13" s="467" t="s">
        <v>5094</v>
      </c>
      <c r="D13" s="468" t="s">
        <v>75</v>
      </c>
      <c r="E13" s="548">
        <f>5*1.2</f>
        <v>6</v>
      </c>
      <c r="F13" s="544">
        <f t="shared" ref="F13:F14" si="1">ROUND(E13,2)</f>
        <v>6</v>
      </c>
      <c r="G13" s="540" t="s">
        <v>1194</v>
      </c>
    </row>
    <row r="14" spans="1:12" ht="25.5" x14ac:dyDescent="0.2">
      <c r="A14" s="457" t="s">
        <v>435</v>
      </c>
      <c r="B14" s="453" t="s">
        <v>1195</v>
      </c>
      <c r="C14" s="467" t="s">
        <v>5096</v>
      </c>
      <c r="D14" s="468" t="s">
        <v>75</v>
      </c>
      <c r="E14" s="548">
        <f>2.4*8</f>
        <v>19.2</v>
      </c>
      <c r="F14" s="544">
        <f t="shared" si="1"/>
        <v>19.2</v>
      </c>
      <c r="G14" s="540" t="s">
        <v>1194</v>
      </c>
    </row>
    <row r="15" spans="1:12" s="438" customFormat="1" x14ac:dyDescent="0.2">
      <c r="A15" s="866" t="s">
        <v>62</v>
      </c>
      <c r="B15" s="865"/>
      <c r="C15" s="865"/>
      <c r="D15" s="865"/>
      <c r="E15" s="873"/>
      <c r="F15" s="544"/>
      <c r="G15" s="540"/>
      <c r="H15" s="448"/>
      <c r="I15" s="448"/>
      <c r="J15" s="448"/>
      <c r="K15" s="448"/>
      <c r="L15" s="448"/>
    </row>
    <row r="16" spans="1:12" s="438" customFormat="1" x14ac:dyDescent="0.2">
      <c r="A16" s="439" t="s">
        <v>54</v>
      </c>
      <c r="B16" s="440" t="s">
        <v>55</v>
      </c>
      <c r="C16" s="441" t="s">
        <v>56</v>
      </c>
      <c r="D16" s="440" t="s">
        <v>57</v>
      </c>
      <c r="E16" s="541" t="s">
        <v>58</v>
      </c>
      <c r="F16" s="544"/>
      <c r="G16" s="540"/>
      <c r="H16" s="448"/>
      <c r="I16" s="448"/>
      <c r="J16" s="448"/>
      <c r="K16" s="448"/>
      <c r="L16" s="448"/>
    </row>
    <row r="17" spans="1:12" ht="25.5" x14ac:dyDescent="0.2">
      <c r="A17" s="457" t="s">
        <v>25</v>
      </c>
      <c r="B17" s="458" t="s">
        <v>5098</v>
      </c>
      <c r="C17" s="459" t="s">
        <v>5099</v>
      </c>
      <c r="D17" s="468" t="s">
        <v>9</v>
      </c>
      <c r="E17" s="446">
        <f>28.1*16.5</f>
        <v>463.65000000000003</v>
      </c>
      <c r="F17" s="544">
        <f>ROUND(E17,2)</f>
        <v>463.65</v>
      </c>
      <c r="G17" s="540" t="s">
        <v>1194</v>
      </c>
    </row>
    <row r="18" spans="1:12" s="438" customFormat="1" x14ac:dyDescent="0.2">
      <c r="A18" s="866" t="s">
        <v>64</v>
      </c>
      <c r="B18" s="865"/>
      <c r="C18" s="865"/>
      <c r="D18" s="865"/>
      <c r="E18" s="873"/>
      <c r="F18" s="544"/>
      <c r="G18" s="549"/>
      <c r="H18" s="448"/>
      <c r="I18" s="448"/>
      <c r="J18" s="448"/>
      <c r="K18" s="448"/>
      <c r="L18" s="448"/>
    </row>
    <row r="19" spans="1:12" s="438" customFormat="1" x14ac:dyDescent="0.2">
      <c r="A19" s="439" t="s">
        <v>54</v>
      </c>
      <c r="B19" s="440" t="s">
        <v>55</v>
      </c>
      <c r="C19" s="441" t="s">
        <v>56</v>
      </c>
      <c r="D19" s="440" t="s">
        <v>57</v>
      </c>
      <c r="E19" s="541" t="s">
        <v>58</v>
      </c>
      <c r="F19" s="544"/>
      <c r="G19" s="549"/>
      <c r="H19" s="448"/>
      <c r="I19" s="448"/>
      <c r="J19" s="448"/>
      <c r="K19" s="448"/>
      <c r="L19" s="448"/>
    </row>
    <row r="20" spans="1:12" x14ac:dyDescent="0.2">
      <c r="A20" s="457" t="s">
        <v>29</v>
      </c>
      <c r="B20" s="442" t="s">
        <v>1213</v>
      </c>
      <c r="C20" s="443" t="s">
        <v>5100</v>
      </c>
      <c r="D20" s="444" t="s">
        <v>9</v>
      </c>
      <c r="E20" s="550">
        <f>(0.9*2.1)*8</f>
        <v>15.120000000000001</v>
      </c>
      <c r="F20" s="544">
        <f t="shared" ref="F20:F24" si="2">ROUND(E20,2)</f>
        <v>15.12</v>
      </c>
      <c r="G20" s="540" t="s">
        <v>1194</v>
      </c>
      <c r="H20" s="551"/>
    </row>
    <row r="21" spans="1:12" x14ac:dyDescent="0.2">
      <c r="A21" s="457" t="s">
        <v>30</v>
      </c>
      <c r="B21" s="442" t="s">
        <v>5101</v>
      </c>
      <c r="C21" s="443" t="s">
        <v>5102</v>
      </c>
      <c r="D21" s="444" t="s">
        <v>9</v>
      </c>
      <c r="E21" s="550">
        <f>(0.8*2.1)*2</f>
        <v>3.3600000000000003</v>
      </c>
      <c r="F21" s="544">
        <f t="shared" si="2"/>
        <v>3.36</v>
      </c>
      <c r="G21" s="540" t="s">
        <v>1194</v>
      </c>
      <c r="H21" s="551"/>
    </row>
    <row r="22" spans="1:12" ht="25.5" x14ac:dyDescent="0.2">
      <c r="A22" s="457" t="s">
        <v>66</v>
      </c>
      <c r="B22" s="453" t="s">
        <v>5103</v>
      </c>
      <c r="C22" s="443" t="s">
        <v>5104</v>
      </c>
      <c r="D22" s="444" t="s">
        <v>9</v>
      </c>
      <c r="E22" s="543">
        <f>6*2*0.8</f>
        <v>9.6000000000000014</v>
      </c>
      <c r="F22" s="544">
        <f t="shared" si="2"/>
        <v>9.6</v>
      </c>
      <c r="G22" s="540" t="s">
        <v>1194</v>
      </c>
      <c r="H22" s="551"/>
    </row>
    <row r="23" spans="1:12" ht="25.5" x14ac:dyDescent="0.2">
      <c r="A23" s="457" t="s">
        <v>67</v>
      </c>
      <c r="B23" s="453" t="s">
        <v>5105</v>
      </c>
      <c r="C23" s="443" t="s">
        <v>5106</v>
      </c>
      <c r="D23" s="444" t="s">
        <v>9</v>
      </c>
      <c r="E23" s="543">
        <f>0.8*0.4*5</f>
        <v>1.6000000000000003</v>
      </c>
      <c r="F23" s="544">
        <f t="shared" si="2"/>
        <v>1.6</v>
      </c>
      <c r="G23" s="540" t="s">
        <v>1194</v>
      </c>
      <c r="H23" s="551"/>
    </row>
    <row r="24" spans="1:12" ht="25.5" x14ac:dyDescent="0.2">
      <c r="A24" s="457" t="s">
        <v>68</v>
      </c>
      <c r="B24" s="453" t="s">
        <v>5107</v>
      </c>
      <c r="C24" s="443" t="s">
        <v>5108</v>
      </c>
      <c r="D24" s="444" t="s">
        <v>9</v>
      </c>
      <c r="E24" s="543">
        <f>2*1.5*2</f>
        <v>6</v>
      </c>
      <c r="F24" s="544">
        <f t="shared" si="2"/>
        <v>6</v>
      </c>
      <c r="G24" s="540" t="s">
        <v>1194</v>
      </c>
      <c r="H24" s="551"/>
    </row>
    <row r="25" spans="1:12" s="438" customFormat="1" x14ac:dyDescent="0.2">
      <c r="A25" s="866" t="s">
        <v>564</v>
      </c>
      <c r="B25" s="865"/>
      <c r="C25" s="865"/>
      <c r="D25" s="865"/>
      <c r="E25" s="873"/>
      <c r="F25" s="544"/>
      <c r="G25" s="540"/>
      <c r="H25" s="448"/>
      <c r="I25" s="448"/>
      <c r="J25" s="448"/>
      <c r="K25" s="448"/>
      <c r="L25" s="448"/>
    </row>
    <row r="26" spans="1:12" s="438" customFormat="1" x14ac:dyDescent="0.2">
      <c r="A26" s="439" t="s">
        <v>54</v>
      </c>
      <c r="B26" s="440" t="s">
        <v>55</v>
      </c>
      <c r="C26" s="441" t="s">
        <v>56</v>
      </c>
      <c r="D26" s="440" t="s">
        <v>57</v>
      </c>
      <c r="E26" s="541" t="s">
        <v>58</v>
      </c>
      <c r="F26" s="544"/>
      <c r="G26" s="540"/>
      <c r="H26" s="448"/>
      <c r="I26" s="448"/>
      <c r="J26" s="448"/>
      <c r="K26" s="448"/>
      <c r="L26" s="448"/>
    </row>
    <row r="27" spans="1:12" ht="38.25" x14ac:dyDescent="0.2">
      <c r="A27" s="457" t="s">
        <v>32</v>
      </c>
      <c r="B27" s="458" t="s">
        <v>5109</v>
      </c>
      <c r="C27" s="459" t="s">
        <v>5110</v>
      </c>
      <c r="D27" s="468" t="s">
        <v>9</v>
      </c>
      <c r="E27" s="446">
        <f>((E7*2)+(0.9*11*3.9))-(21.9*2)</f>
        <v>868.31000000000006</v>
      </c>
      <c r="F27" s="544">
        <f t="shared" ref="F27:F33" si="3">ROUND(E27,2)</f>
        <v>868.31</v>
      </c>
      <c r="G27" s="540" t="s">
        <v>1194</v>
      </c>
      <c r="H27" s="551"/>
    </row>
    <row r="28" spans="1:12" ht="102" x14ac:dyDescent="0.2">
      <c r="A28" s="457" t="s">
        <v>86</v>
      </c>
      <c r="B28" s="458" t="s">
        <v>5111</v>
      </c>
      <c r="C28" s="459" t="s">
        <v>5112</v>
      </c>
      <c r="D28" s="468" t="s">
        <v>9</v>
      </c>
      <c r="E28" s="446">
        <f>14.87+3.75+3.75+48.9+26.06+3.87+9.54+9.54</f>
        <v>120.28</v>
      </c>
      <c r="F28" s="544">
        <f t="shared" si="3"/>
        <v>120.28</v>
      </c>
      <c r="G28" s="540" t="s">
        <v>1194</v>
      </c>
      <c r="H28" s="551"/>
    </row>
    <row r="29" spans="1:12" x14ac:dyDescent="0.2">
      <c r="A29" s="457" t="s">
        <v>87</v>
      </c>
      <c r="B29" s="458" t="s">
        <v>5113</v>
      </c>
      <c r="C29" s="459" t="s">
        <v>1214</v>
      </c>
      <c r="D29" s="468" t="s">
        <v>9</v>
      </c>
      <c r="E29" s="446">
        <f>E27-E31</f>
        <v>450.38099999999997</v>
      </c>
      <c r="F29" s="544">
        <f t="shared" si="3"/>
        <v>450.38</v>
      </c>
      <c r="G29" s="540" t="s">
        <v>1194</v>
      </c>
      <c r="I29" s="511"/>
    </row>
    <row r="30" spans="1:12" ht="102" x14ac:dyDescent="0.2">
      <c r="A30" s="457" t="s">
        <v>157</v>
      </c>
      <c r="B30" s="458" t="s">
        <v>5114</v>
      </c>
      <c r="C30" s="459" t="s">
        <v>5112</v>
      </c>
      <c r="D30" s="468" t="s">
        <v>9</v>
      </c>
      <c r="E30" s="446">
        <f>14.87+3.75+3.75+48.9+26.06+3.87+9.54+9.54</f>
        <v>120.28</v>
      </c>
      <c r="F30" s="544">
        <f t="shared" si="3"/>
        <v>120.28</v>
      </c>
      <c r="G30" s="540" t="s">
        <v>1194</v>
      </c>
      <c r="H30" s="551"/>
    </row>
    <row r="31" spans="1:12" ht="165.75" x14ac:dyDescent="0.2">
      <c r="A31" s="457" t="s">
        <v>158</v>
      </c>
      <c r="B31" s="467" t="s">
        <v>5115</v>
      </c>
      <c r="C31" s="467" t="s">
        <v>5116</v>
      </c>
      <c r="D31" s="468" t="s">
        <v>9</v>
      </c>
      <c r="E31" s="446">
        <f>(((8.7+16.9+12.9+12.9+8+8+30.38+16.4)*3.8)-54.45)+(5.15*1.5)+((14.5*1.2)-1.48)+14.85</f>
        <v>417.92900000000009</v>
      </c>
      <c r="F31" s="544">
        <f t="shared" si="3"/>
        <v>417.93</v>
      </c>
      <c r="G31" s="540" t="s">
        <v>1194</v>
      </c>
    </row>
    <row r="32" spans="1:12" ht="165.75" x14ac:dyDescent="0.2">
      <c r="A32" s="457" t="s">
        <v>450</v>
      </c>
      <c r="B32" s="458" t="s">
        <v>5117</v>
      </c>
      <c r="C32" s="459" t="s">
        <v>5118</v>
      </c>
      <c r="D32" s="468" t="s">
        <v>9</v>
      </c>
      <c r="E32" s="446">
        <f>(((8.7+16.9+12.9+12.9+8+8+30.38+16.4)*3.8)-54.45)+(5.15*1.5)+((14.5*1.2)-1.48)+14.85</f>
        <v>417.92900000000009</v>
      </c>
      <c r="F32" s="544">
        <f t="shared" si="3"/>
        <v>417.93</v>
      </c>
      <c r="G32" s="540" t="s">
        <v>1194</v>
      </c>
      <c r="I32" s="552"/>
      <c r="J32" s="552"/>
      <c r="K32" s="552"/>
    </row>
    <row r="33" spans="1:12" ht="63.75" x14ac:dyDescent="0.2">
      <c r="A33" s="270" t="s">
        <v>159</v>
      </c>
      <c r="B33" s="553" t="s">
        <v>1218</v>
      </c>
      <c r="C33" s="554" t="s">
        <v>5119</v>
      </c>
      <c r="D33" s="468" t="s">
        <v>9</v>
      </c>
      <c r="E33" s="548">
        <f>4.37+4.51+3.59+14.85</f>
        <v>27.32</v>
      </c>
      <c r="F33" s="544">
        <f t="shared" si="3"/>
        <v>27.32</v>
      </c>
      <c r="G33" s="540" t="s">
        <v>1194</v>
      </c>
    </row>
    <row r="34" spans="1:12" ht="127.5" x14ac:dyDescent="0.2">
      <c r="A34" s="457" t="s">
        <v>454</v>
      </c>
      <c r="B34" s="467" t="s">
        <v>5120</v>
      </c>
      <c r="C34" s="459" t="s">
        <v>5121</v>
      </c>
      <c r="D34" s="468" t="s">
        <v>9</v>
      </c>
      <c r="E34" s="546">
        <f>(((16.9+3.35+16+30.8)*1.1)-(1.98+0.88+0.88+5.94))+55.11</f>
        <v>119.18500000000002</v>
      </c>
      <c r="F34" s="544"/>
      <c r="G34" s="540"/>
    </row>
    <row r="35" spans="1:12" s="438" customFormat="1" ht="12.75" customHeight="1" x14ac:dyDescent="0.2">
      <c r="A35" s="858" t="s">
        <v>11</v>
      </c>
      <c r="B35" s="859"/>
      <c r="C35" s="859"/>
      <c r="D35" s="859"/>
      <c r="E35" s="874"/>
      <c r="F35" s="544"/>
      <c r="G35" s="555"/>
      <c r="H35" s="448"/>
      <c r="I35" s="448"/>
      <c r="J35" s="448"/>
      <c r="K35" s="448"/>
      <c r="L35" s="448"/>
    </row>
    <row r="36" spans="1:12" s="438" customFormat="1" x14ac:dyDescent="0.2">
      <c r="A36" s="439" t="s">
        <v>54</v>
      </c>
      <c r="B36" s="440" t="s">
        <v>55</v>
      </c>
      <c r="C36" s="441" t="s">
        <v>56</v>
      </c>
      <c r="D36" s="440" t="s">
        <v>57</v>
      </c>
      <c r="E36" s="541" t="s">
        <v>58</v>
      </c>
      <c r="F36" s="544"/>
      <c r="G36" s="540"/>
      <c r="H36" s="448"/>
      <c r="I36" s="448"/>
      <c r="J36" s="448"/>
      <c r="K36" s="448"/>
      <c r="L36" s="448"/>
    </row>
    <row r="37" spans="1:12" ht="114.75" x14ac:dyDescent="0.2">
      <c r="A37" s="457" t="s">
        <v>73</v>
      </c>
      <c r="B37" s="458" t="s">
        <v>1215</v>
      </c>
      <c r="C37" s="459" t="s">
        <v>5122</v>
      </c>
      <c r="D37" s="468" t="s">
        <v>9</v>
      </c>
      <c r="E37" s="446">
        <f>14.87+3.75+3.75+48.9+24.8+3.87+9.54+9.54+239.16</f>
        <v>358.17999999999995</v>
      </c>
      <c r="F37" s="544">
        <f t="shared" ref="F37:F38" si="4">ROUND(E37,2)</f>
        <v>358.18</v>
      </c>
      <c r="G37" s="540" t="s">
        <v>1194</v>
      </c>
      <c r="H37" s="511"/>
    </row>
    <row r="38" spans="1:12" ht="79.5" customHeight="1" x14ac:dyDescent="0.2">
      <c r="A38" s="457" t="s">
        <v>74</v>
      </c>
      <c r="B38" s="458" t="s">
        <v>4896</v>
      </c>
      <c r="C38" s="459" t="s">
        <v>5123</v>
      </c>
      <c r="D38" s="468" t="s">
        <v>75</v>
      </c>
      <c r="E38" s="446">
        <f>(0.9*8)+(0.8*2)+45+2.55+5.45</f>
        <v>61.8</v>
      </c>
      <c r="F38" s="544">
        <f t="shared" si="4"/>
        <v>61.8</v>
      </c>
      <c r="G38" s="540" t="s">
        <v>1194</v>
      </c>
      <c r="H38" s="551"/>
    </row>
    <row r="39" spans="1:12" s="438" customFormat="1" x14ac:dyDescent="0.2">
      <c r="A39" s="866" t="s">
        <v>12</v>
      </c>
      <c r="B39" s="865"/>
      <c r="C39" s="865"/>
      <c r="D39" s="865"/>
      <c r="E39" s="873"/>
      <c r="F39" s="544"/>
      <c r="G39" s="540"/>
      <c r="H39" s="448"/>
      <c r="I39" s="551"/>
      <c r="J39" s="448"/>
      <c r="K39" s="448"/>
      <c r="L39" s="448"/>
    </row>
    <row r="40" spans="1:12" s="438" customFormat="1" x14ac:dyDescent="0.2">
      <c r="A40" s="439" t="s">
        <v>54</v>
      </c>
      <c r="B40" s="440" t="s">
        <v>55</v>
      </c>
      <c r="C40" s="441" t="s">
        <v>56</v>
      </c>
      <c r="D40" s="440" t="s">
        <v>57</v>
      </c>
      <c r="E40" s="541" t="s">
        <v>58</v>
      </c>
      <c r="F40" s="544"/>
      <c r="G40" s="540"/>
      <c r="H40" s="448"/>
      <c r="I40" s="448"/>
      <c r="J40" s="448"/>
      <c r="K40" s="448"/>
      <c r="L40" s="448"/>
    </row>
    <row r="41" spans="1:12" ht="102" x14ac:dyDescent="0.2">
      <c r="A41" s="457" t="s">
        <v>76</v>
      </c>
      <c r="B41" s="467" t="s">
        <v>5124</v>
      </c>
      <c r="C41" s="467" t="s">
        <v>5125</v>
      </c>
      <c r="D41" s="468" t="s">
        <v>9</v>
      </c>
      <c r="E41" s="548">
        <f>63.94+59.86+55.9+53.4+53.4+35.85+(0.9*11*2.4)</f>
        <v>346.11</v>
      </c>
      <c r="F41" s="544">
        <f t="shared" ref="F41:F47" si="5">ROUND(E41,2)</f>
        <v>346.11</v>
      </c>
      <c r="G41" s="540" t="s">
        <v>1194</v>
      </c>
      <c r="H41" s="511"/>
    </row>
    <row r="42" spans="1:12" ht="114.75" x14ac:dyDescent="0.2">
      <c r="A42" s="457" t="s">
        <v>4895</v>
      </c>
      <c r="B42" s="467" t="s">
        <v>1217</v>
      </c>
      <c r="C42" s="467" t="s">
        <v>5126</v>
      </c>
      <c r="D42" s="468" t="s">
        <v>9</v>
      </c>
      <c r="E42" s="548">
        <f>(63.94+59.86+55.9+53.4+53.4+35.85)+(0.9*11*2.4)</f>
        <v>346.11</v>
      </c>
      <c r="F42" s="544">
        <f t="shared" si="5"/>
        <v>346.11</v>
      </c>
      <c r="G42" s="540" t="s">
        <v>1194</v>
      </c>
      <c r="H42" s="511"/>
    </row>
    <row r="43" spans="1:12" ht="114.75" x14ac:dyDescent="0.2">
      <c r="A43" s="457" t="s">
        <v>4895</v>
      </c>
      <c r="B43" s="467" t="s">
        <v>5127</v>
      </c>
      <c r="C43" s="467" t="s">
        <v>5128</v>
      </c>
      <c r="D43" s="468" t="s">
        <v>9</v>
      </c>
      <c r="E43" s="548">
        <v>120.28</v>
      </c>
      <c r="F43" s="544">
        <f t="shared" si="5"/>
        <v>120.28</v>
      </c>
      <c r="G43" s="540" t="s">
        <v>1194</v>
      </c>
      <c r="H43" s="511"/>
      <c r="I43" s="556"/>
    </row>
    <row r="44" spans="1:12" ht="114.75" x14ac:dyDescent="0.2">
      <c r="A44" s="457" t="s">
        <v>4898</v>
      </c>
      <c r="B44" s="467" t="s">
        <v>5129</v>
      </c>
      <c r="C44" s="467" t="s">
        <v>5130</v>
      </c>
      <c r="D44" s="468" t="s">
        <v>9</v>
      </c>
      <c r="E44" s="548">
        <f>63.94+59.86+55.9+53.4+53.4+35.85 +(0.9*11*2.4)</f>
        <v>346.11</v>
      </c>
      <c r="F44" s="544">
        <f t="shared" si="5"/>
        <v>346.11</v>
      </c>
      <c r="G44" s="540" t="s">
        <v>1194</v>
      </c>
    </row>
    <row r="45" spans="1:12" ht="102" x14ac:dyDescent="0.2">
      <c r="A45" s="457" t="s">
        <v>4900</v>
      </c>
      <c r="B45" s="467" t="s">
        <v>5131</v>
      </c>
      <c r="C45" s="459" t="s">
        <v>5132</v>
      </c>
      <c r="D45" s="468" t="s">
        <v>9</v>
      </c>
      <c r="E45" s="446">
        <f>14.87+3.75+3.75+48.9+26.06+3.87+9.54+9.54</f>
        <v>120.28</v>
      </c>
      <c r="F45" s="544">
        <f>ROUND(E45,2)</f>
        <v>120.28</v>
      </c>
      <c r="G45" s="540" t="s">
        <v>1194</v>
      </c>
      <c r="H45" s="551"/>
    </row>
    <row r="46" spans="1:12" ht="38.25" x14ac:dyDescent="0.2">
      <c r="A46" s="457" t="s">
        <v>4903</v>
      </c>
      <c r="B46" s="467" t="s">
        <v>5133</v>
      </c>
      <c r="C46" s="467" t="s">
        <v>5134</v>
      </c>
      <c r="D46" s="468" t="s">
        <v>9</v>
      </c>
      <c r="E46" s="548">
        <f>15.35*1.2</f>
        <v>18.419999999999998</v>
      </c>
      <c r="F46" s="544">
        <f t="shared" ref="F46" si="6">ROUND(E46,2)</f>
        <v>18.420000000000002</v>
      </c>
      <c r="G46" s="540" t="s">
        <v>1194</v>
      </c>
    </row>
    <row r="47" spans="1:12" s="480" customFormat="1" ht="50.25" customHeight="1" x14ac:dyDescent="0.2">
      <c r="A47" s="474" t="s">
        <v>4906</v>
      </c>
      <c r="B47" s="492" t="s">
        <v>1219</v>
      </c>
      <c r="C47" s="492" t="s">
        <v>5135</v>
      </c>
      <c r="D47" s="477" t="s">
        <v>9</v>
      </c>
      <c r="E47" s="557">
        <f>((0.9*2.1*8)+(0.8*2.1*2))*3</f>
        <v>55.44</v>
      </c>
      <c r="F47" s="558">
        <f t="shared" si="5"/>
        <v>55.44</v>
      </c>
      <c r="G47" s="499" t="s">
        <v>1194</v>
      </c>
    </row>
    <row r="48" spans="1:12" s="438" customFormat="1" ht="12.75" customHeight="1" x14ac:dyDescent="0.2">
      <c r="A48" s="858" t="s">
        <v>449</v>
      </c>
      <c r="B48" s="859"/>
      <c r="C48" s="859"/>
      <c r="D48" s="859"/>
      <c r="E48" s="874"/>
      <c r="F48" s="544"/>
      <c r="G48" s="540"/>
      <c r="H48" s="448"/>
      <c r="I48" s="448"/>
      <c r="J48" s="448"/>
      <c r="K48" s="448"/>
      <c r="L48" s="448"/>
    </row>
    <row r="49" spans="1:12 16384:16384" s="438" customFormat="1" ht="12.75" customHeight="1" x14ac:dyDescent="0.2">
      <c r="A49" s="439" t="s">
        <v>54</v>
      </c>
      <c r="B49" s="440" t="s">
        <v>55</v>
      </c>
      <c r="C49" s="441" t="s">
        <v>56</v>
      </c>
      <c r="D49" s="440" t="s">
        <v>57</v>
      </c>
      <c r="E49" s="541" t="s">
        <v>58</v>
      </c>
      <c r="F49" s="544"/>
      <c r="G49" s="540"/>
      <c r="H49" s="448"/>
      <c r="I49" s="448"/>
      <c r="J49" s="448"/>
      <c r="K49" s="448"/>
      <c r="L49" s="448"/>
    </row>
    <row r="50" spans="1:12 16384:16384" ht="25.5" x14ac:dyDescent="0.2">
      <c r="A50" s="457" t="s">
        <v>78</v>
      </c>
      <c r="B50" s="442" t="s">
        <v>5136</v>
      </c>
      <c r="C50" s="459" t="s">
        <v>5137</v>
      </c>
      <c r="D50" s="468" t="s">
        <v>9</v>
      </c>
      <c r="E50" s="446">
        <f>((2.68+2.76+2.76+2.8)*2)+((4.51+4.51+4.48)*0.7)</f>
        <v>31.45</v>
      </c>
      <c r="F50" s="544">
        <f t="shared" ref="F50:F56" si="7">ROUND(E50,2)</f>
        <v>31.45</v>
      </c>
      <c r="G50" s="540" t="s">
        <v>1194</v>
      </c>
      <c r="XFD50" s="511">
        <f>SUM(E50:XFC50)</f>
        <v>62.9</v>
      </c>
    </row>
    <row r="51" spans="1:12 16384:16384" x14ac:dyDescent="0.2">
      <c r="A51" s="457" t="s">
        <v>80</v>
      </c>
      <c r="B51" s="458" t="s">
        <v>1220</v>
      </c>
      <c r="C51" s="459" t="s">
        <v>5138</v>
      </c>
      <c r="D51" s="494" t="s">
        <v>52</v>
      </c>
      <c r="E51" s="446">
        <v>1</v>
      </c>
      <c r="F51" s="544">
        <f t="shared" si="7"/>
        <v>1</v>
      </c>
      <c r="G51" s="540" t="s">
        <v>1194</v>
      </c>
      <c r="XFD51" s="511">
        <f>SUM(E51:XFC51)</f>
        <v>2</v>
      </c>
    </row>
    <row r="52" spans="1:12 16384:16384" ht="16.5" customHeight="1" x14ac:dyDescent="0.2">
      <c r="A52" s="457" t="s">
        <v>81</v>
      </c>
      <c r="B52" s="442" t="s">
        <v>1221</v>
      </c>
      <c r="C52" s="443" t="s">
        <v>1201</v>
      </c>
      <c r="D52" s="494" t="s">
        <v>52</v>
      </c>
      <c r="E52" s="446">
        <v>1</v>
      </c>
      <c r="F52" s="544">
        <f t="shared" si="7"/>
        <v>1</v>
      </c>
      <c r="G52" s="540" t="s">
        <v>1194</v>
      </c>
    </row>
    <row r="53" spans="1:12 16384:16384" ht="16.5" customHeight="1" x14ac:dyDescent="0.2">
      <c r="A53" s="457" t="s">
        <v>91</v>
      </c>
      <c r="B53" s="442" t="s">
        <v>1222</v>
      </c>
      <c r="C53" s="443" t="s">
        <v>5139</v>
      </c>
      <c r="D53" s="494" t="s">
        <v>52</v>
      </c>
      <c r="E53" s="446">
        <v>2</v>
      </c>
      <c r="F53" s="544">
        <f t="shared" si="7"/>
        <v>2</v>
      </c>
      <c r="G53" s="540" t="s">
        <v>1194</v>
      </c>
    </row>
    <row r="54" spans="1:12 16384:16384" ht="16.5" customHeight="1" x14ac:dyDescent="0.2">
      <c r="A54" s="457" t="s">
        <v>92</v>
      </c>
      <c r="B54" s="442" t="s">
        <v>1223</v>
      </c>
      <c r="C54" s="443" t="s">
        <v>5140</v>
      </c>
      <c r="D54" s="468" t="s">
        <v>9</v>
      </c>
      <c r="E54" s="446">
        <f>2*0.45*0.55</f>
        <v>0.49500000000000005</v>
      </c>
      <c r="F54" s="544">
        <f t="shared" si="7"/>
        <v>0.5</v>
      </c>
      <c r="G54" s="540" t="s">
        <v>1194</v>
      </c>
    </row>
    <row r="55" spans="1:12 16384:16384" x14ac:dyDescent="0.2">
      <c r="A55" s="457" t="s">
        <v>4919</v>
      </c>
      <c r="B55" s="442" t="s">
        <v>1224</v>
      </c>
      <c r="C55" s="443" t="s">
        <v>5141</v>
      </c>
      <c r="D55" s="468" t="s">
        <v>75</v>
      </c>
      <c r="E55" s="446">
        <f>11*4*3.9</f>
        <v>171.6</v>
      </c>
      <c r="F55" s="544">
        <f t="shared" si="7"/>
        <v>171.6</v>
      </c>
      <c r="G55" s="540" t="s">
        <v>1194</v>
      </c>
    </row>
    <row r="56" spans="1:12 16384:16384" ht="38.25" x14ac:dyDescent="0.2">
      <c r="A56" s="457" t="s">
        <v>4922</v>
      </c>
      <c r="B56" s="458" t="s">
        <v>5142</v>
      </c>
      <c r="C56" s="459" t="s">
        <v>5143</v>
      </c>
      <c r="D56" s="494" t="s">
        <v>52</v>
      </c>
      <c r="E56" s="446">
        <f>15+9</f>
        <v>24</v>
      </c>
      <c r="F56" s="544">
        <f t="shared" si="7"/>
        <v>24</v>
      </c>
      <c r="G56" s="540" t="s">
        <v>1194</v>
      </c>
      <c r="XFD56" s="511">
        <f>SUM(E56:XFC56)</f>
        <v>48</v>
      </c>
    </row>
    <row r="57" spans="1:12 16384:16384" s="438" customFormat="1" x14ac:dyDescent="0.2">
      <c r="A57" s="863" t="s">
        <v>51</v>
      </c>
      <c r="B57" s="864"/>
      <c r="C57" s="865"/>
      <c r="D57" s="865"/>
      <c r="E57" s="873"/>
      <c r="F57" s="544"/>
      <c r="G57" s="540"/>
      <c r="H57" s="448"/>
      <c r="I57" s="448"/>
      <c r="J57" s="448"/>
      <c r="K57" s="448"/>
      <c r="L57" s="448"/>
    </row>
    <row r="58" spans="1:12 16384:16384" s="438" customFormat="1" x14ac:dyDescent="0.2">
      <c r="A58" s="439" t="s">
        <v>54</v>
      </c>
      <c r="B58" s="440" t="s">
        <v>55</v>
      </c>
      <c r="C58" s="441" t="s">
        <v>56</v>
      </c>
      <c r="D58" s="440" t="s">
        <v>57</v>
      </c>
      <c r="E58" s="541" t="s">
        <v>58</v>
      </c>
      <c r="F58" s="544"/>
      <c r="G58" s="540"/>
      <c r="H58" s="448"/>
      <c r="I58" s="448"/>
      <c r="J58" s="448"/>
      <c r="K58" s="448"/>
      <c r="L58" s="448"/>
    </row>
    <row r="59" spans="1:12 16384:16384" x14ac:dyDescent="0.2">
      <c r="A59" s="457" t="s">
        <v>82</v>
      </c>
      <c r="B59" s="458" t="s">
        <v>1225</v>
      </c>
      <c r="C59" s="467" t="s">
        <v>5144</v>
      </c>
      <c r="D59" s="468" t="s">
        <v>9</v>
      </c>
      <c r="E59" s="559">
        <f>98.4</f>
        <v>98.4</v>
      </c>
      <c r="F59" s="544">
        <f>E59</f>
        <v>98.4</v>
      </c>
      <c r="G59" s="545" t="s">
        <v>1194</v>
      </c>
    </row>
    <row r="60" spans="1:12 16384:16384" s="438" customFormat="1" x14ac:dyDescent="0.2">
      <c r="A60" s="863" t="s">
        <v>1226</v>
      </c>
      <c r="B60" s="864"/>
      <c r="C60" s="865"/>
      <c r="D60" s="865"/>
      <c r="E60" s="873"/>
      <c r="F60" s="544"/>
      <c r="G60" s="540"/>
      <c r="H60" s="448"/>
      <c r="I60" s="448"/>
      <c r="J60" s="448"/>
      <c r="K60" s="448"/>
      <c r="L60" s="448"/>
    </row>
    <row r="61" spans="1:12 16384:16384" s="438" customFormat="1" x14ac:dyDescent="0.2">
      <c r="A61" s="439" t="s">
        <v>54</v>
      </c>
      <c r="B61" s="440" t="s">
        <v>55</v>
      </c>
      <c r="C61" s="441" t="s">
        <v>56</v>
      </c>
      <c r="D61" s="440" t="s">
        <v>57</v>
      </c>
      <c r="E61" s="541" t="s">
        <v>58</v>
      </c>
      <c r="F61" s="544"/>
      <c r="G61" s="540"/>
      <c r="H61" s="448"/>
      <c r="I61" s="448"/>
      <c r="J61" s="448"/>
      <c r="K61" s="448"/>
      <c r="L61" s="448"/>
    </row>
    <row r="62" spans="1:12 16384:16384" x14ac:dyDescent="0.2">
      <c r="A62" s="457" t="s">
        <v>83</v>
      </c>
      <c r="B62" s="458" t="s">
        <v>1227</v>
      </c>
      <c r="C62" s="459" t="s">
        <v>5145</v>
      </c>
      <c r="D62" s="468" t="s">
        <v>9</v>
      </c>
      <c r="E62" s="446">
        <f>E22+E23</f>
        <v>11.200000000000001</v>
      </c>
      <c r="F62" s="544">
        <f>ROUND(E62,2)</f>
        <v>11.2</v>
      </c>
      <c r="G62" s="540" t="s">
        <v>1194</v>
      </c>
    </row>
    <row r="63" spans="1:12 16384:16384" x14ac:dyDescent="0.2">
      <c r="A63" s="457" t="s">
        <v>94</v>
      </c>
      <c r="B63" s="458" t="s">
        <v>1229</v>
      </c>
      <c r="C63" s="459" t="s">
        <v>1230</v>
      </c>
      <c r="D63" s="468" t="s">
        <v>9</v>
      </c>
      <c r="E63" s="446">
        <f>E32+E33</f>
        <v>445.24900000000008</v>
      </c>
      <c r="F63" s="544">
        <f>ROUND(E63,2)</f>
        <v>445.25</v>
      </c>
      <c r="G63" s="540" t="s">
        <v>1194</v>
      </c>
    </row>
    <row r="64" spans="1:12 16384:16384" ht="13.5" thickBot="1" x14ac:dyDescent="0.25">
      <c r="A64" s="504" t="s">
        <v>4937</v>
      </c>
      <c r="B64" s="505" t="s">
        <v>1209</v>
      </c>
      <c r="C64" s="506" t="s">
        <v>5146</v>
      </c>
      <c r="D64" s="507" t="s">
        <v>9</v>
      </c>
      <c r="E64" s="560">
        <v>378.45</v>
      </c>
      <c r="F64" s="544">
        <f>ROUND(E64,2)</f>
        <v>378.45</v>
      </c>
      <c r="G64" s="540" t="s">
        <v>1194</v>
      </c>
    </row>
    <row r="66" spans="3:9" x14ac:dyDescent="0.2">
      <c r="C66" s="561"/>
    </row>
    <row r="67" spans="3:9" x14ac:dyDescent="0.2">
      <c r="C67" s="527"/>
      <c r="I67" s="511"/>
    </row>
  </sheetData>
  <mergeCells count="12">
    <mergeCell ref="A60:E60"/>
    <mergeCell ref="A1:E1"/>
    <mergeCell ref="A2:E2"/>
    <mergeCell ref="A5:E5"/>
    <mergeCell ref="A8:E8"/>
    <mergeCell ref="A15:E15"/>
    <mergeCell ref="A18:E18"/>
    <mergeCell ref="A25:E25"/>
    <mergeCell ref="A35:E35"/>
    <mergeCell ref="A39:E39"/>
    <mergeCell ref="A48:E48"/>
    <mergeCell ref="A57:E57"/>
  </mergeCells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BZ82"/>
  <sheetViews>
    <sheetView view="pageBreakPreview" topLeftCell="A51" zoomScaleNormal="100" zoomScaleSheetLayoutView="100" workbookViewId="0">
      <selection activeCell="A4" sqref="A4:E4"/>
    </sheetView>
  </sheetViews>
  <sheetFormatPr defaultRowHeight="12.75" x14ac:dyDescent="0.25"/>
  <cols>
    <col min="1" max="1" width="6.85546875" style="456" bestFit="1" customWidth="1"/>
    <col min="2" max="2" width="34" style="437" customWidth="1"/>
    <col min="3" max="3" width="68.42578125" style="437" customWidth="1"/>
    <col min="4" max="4" width="7.140625" style="437" customWidth="1"/>
    <col min="5" max="5" width="9.28515625" style="437" customWidth="1"/>
    <col min="6" max="6" width="10.7109375" style="462" hidden="1" customWidth="1"/>
    <col min="7" max="7" width="10.5703125" style="497" hidden="1" customWidth="1"/>
    <col min="8" max="8" width="38.42578125" style="437" customWidth="1"/>
    <col min="9" max="9" width="10.85546875" style="437" customWidth="1"/>
    <col min="10" max="11" width="11" style="437" customWidth="1"/>
    <col min="12" max="12" width="16.85546875" style="437" customWidth="1"/>
    <col min="13" max="13" width="9.140625" style="437"/>
    <col min="14" max="14" width="11.85546875" style="437" customWidth="1"/>
    <col min="15" max="16384" width="9.140625" style="437"/>
  </cols>
  <sheetData>
    <row r="1" spans="1:78" s="565" customFormat="1" x14ac:dyDescent="0.25">
      <c r="A1" s="878" t="s">
        <v>5147</v>
      </c>
      <c r="B1" s="879"/>
      <c r="C1" s="879"/>
      <c r="D1" s="879"/>
      <c r="E1" s="880"/>
      <c r="F1" s="563"/>
      <c r="G1" s="564"/>
    </row>
    <row r="2" spans="1:78" s="568" customFormat="1" ht="12.75" customHeight="1" x14ac:dyDescent="0.2">
      <c r="A2" s="881" t="s">
        <v>53</v>
      </c>
      <c r="B2" s="882"/>
      <c r="C2" s="882"/>
      <c r="D2" s="882"/>
      <c r="E2" s="883"/>
      <c r="F2" s="566"/>
      <c r="G2" s="566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67"/>
      <c r="T2" s="567"/>
      <c r="U2" s="567"/>
      <c r="V2" s="567"/>
      <c r="W2" s="567"/>
      <c r="X2" s="567"/>
      <c r="Y2" s="567"/>
      <c r="Z2" s="567"/>
      <c r="AA2" s="567"/>
      <c r="AB2" s="567"/>
      <c r="AC2" s="567"/>
      <c r="AD2" s="567"/>
      <c r="AE2" s="567"/>
      <c r="AF2" s="567"/>
      <c r="AG2" s="567"/>
      <c r="AH2" s="567"/>
      <c r="AI2" s="567"/>
      <c r="AJ2" s="567"/>
      <c r="AK2" s="567"/>
      <c r="AL2" s="567"/>
      <c r="AM2" s="567"/>
      <c r="AN2" s="567"/>
      <c r="AO2" s="567"/>
      <c r="AP2" s="567"/>
      <c r="AQ2" s="567"/>
      <c r="AR2" s="567"/>
      <c r="AS2" s="567"/>
      <c r="AT2" s="567"/>
      <c r="AU2" s="567"/>
      <c r="AV2" s="567"/>
      <c r="AW2" s="567"/>
      <c r="AX2" s="567"/>
      <c r="AY2" s="567"/>
      <c r="AZ2" s="567"/>
      <c r="BA2" s="567"/>
      <c r="BB2" s="567"/>
      <c r="BC2" s="567"/>
      <c r="BD2" s="567"/>
      <c r="BE2" s="567"/>
      <c r="BF2" s="567"/>
      <c r="BG2" s="567"/>
      <c r="BH2" s="567"/>
      <c r="BI2" s="567"/>
      <c r="BJ2" s="567"/>
      <c r="BK2" s="567"/>
      <c r="BL2" s="567"/>
      <c r="BM2" s="567"/>
      <c r="BN2" s="567"/>
      <c r="BO2" s="567"/>
      <c r="BP2" s="567"/>
      <c r="BQ2" s="567"/>
      <c r="BR2" s="567"/>
      <c r="BS2" s="567"/>
      <c r="BT2" s="567"/>
      <c r="BU2" s="567"/>
      <c r="BV2" s="567"/>
      <c r="BW2" s="567"/>
      <c r="BX2" s="567"/>
      <c r="BY2" s="567"/>
      <c r="BZ2" s="567"/>
    </row>
    <row r="3" spans="1:78" s="568" customFormat="1" x14ac:dyDescent="0.2">
      <c r="A3" s="569" t="s">
        <v>54</v>
      </c>
      <c r="B3" s="570" t="s">
        <v>55</v>
      </c>
      <c r="C3" s="571" t="s">
        <v>56</v>
      </c>
      <c r="D3" s="570" t="s">
        <v>57</v>
      </c>
      <c r="E3" s="572" t="s">
        <v>58</v>
      </c>
      <c r="F3" s="566"/>
      <c r="G3" s="566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567"/>
      <c r="AC3" s="567"/>
      <c r="AD3" s="567"/>
      <c r="AE3" s="567"/>
      <c r="AF3" s="567"/>
      <c r="AG3" s="567"/>
      <c r="AH3" s="567"/>
      <c r="AI3" s="567"/>
      <c r="AJ3" s="567"/>
      <c r="AK3" s="567"/>
      <c r="AL3" s="567"/>
      <c r="AM3" s="567"/>
      <c r="AN3" s="567"/>
      <c r="AO3" s="567"/>
      <c r="AP3" s="567"/>
      <c r="AQ3" s="567"/>
      <c r="AR3" s="567"/>
      <c r="AS3" s="567"/>
      <c r="AT3" s="567"/>
      <c r="AU3" s="567"/>
      <c r="AV3" s="567"/>
      <c r="AW3" s="567"/>
      <c r="AX3" s="567"/>
      <c r="AY3" s="567"/>
      <c r="AZ3" s="567"/>
      <c r="BA3" s="567"/>
      <c r="BB3" s="567"/>
      <c r="BC3" s="567"/>
      <c r="BD3" s="567"/>
      <c r="BE3" s="567"/>
      <c r="BF3" s="567"/>
      <c r="BG3" s="567"/>
      <c r="BH3" s="567"/>
      <c r="BI3" s="567"/>
      <c r="BJ3" s="567"/>
      <c r="BK3" s="567"/>
      <c r="BL3" s="567"/>
      <c r="BM3" s="567"/>
      <c r="BN3" s="567"/>
      <c r="BO3" s="567"/>
      <c r="BP3" s="567"/>
      <c r="BQ3" s="567"/>
      <c r="BR3" s="567"/>
      <c r="BS3" s="567"/>
      <c r="BT3" s="567"/>
      <c r="BU3" s="567"/>
      <c r="BV3" s="567"/>
      <c r="BW3" s="567"/>
      <c r="BX3" s="567"/>
      <c r="BY3" s="567"/>
      <c r="BZ3" s="567"/>
    </row>
    <row r="4" spans="1:78" s="540" customFormat="1" ht="25.5" x14ac:dyDescent="0.25">
      <c r="A4" s="270" t="s">
        <v>15</v>
      </c>
      <c r="B4" s="442" t="s">
        <v>1211</v>
      </c>
      <c r="C4" s="453" t="s">
        <v>5148</v>
      </c>
      <c r="D4" s="444" t="s">
        <v>9</v>
      </c>
      <c r="E4" s="573">
        <f>1566.94+207.84</f>
        <v>1774.78</v>
      </c>
      <c r="F4" s="574">
        <f>ROUND(E4,2)</f>
        <v>1774.78</v>
      </c>
      <c r="G4" s="564" t="s">
        <v>1194</v>
      </c>
    </row>
    <row r="5" spans="1:78" s="577" customFormat="1" ht="12.75" customHeight="1" x14ac:dyDescent="0.2">
      <c r="A5" s="884" t="s">
        <v>5149</v>
      </c>
      <c r="B5" s="885"/>
      <c r="C5" s="885"/>
      <c r="D5" s="885"/>
      <c r="E5" s="886"/>
      <c r="F5" s="575"/>
      <c r="G5" s="576"/>
    </row>
    <row r="6" spans="1:78" s="577" customFormat="1" ht="12.75" customHeight="1" x14ac:dyDescent="0.2">
      <c r="A6" s="578" t="s">
        <v>54</v>
      </c>
      <c r="B6" s="579" t="s">
        <v>55</v>
      </c>
      <c r="C6" s="571" t="s">
        <v>56</v>
      </c>
      <c r="D6" s="579" t="s">
        <v>57</v>
      </c>
      <c r="E6" s="580" t="s">
        <v>58</v>
      </c>
      <c r="F6" s="575"/>
      <c r="G6" s="576"/>
    </row>
    <row r="7" spans="1:78" s="448" customFormat="1" ht="102" x14ac:dyDescent="0.2">
      <c r="A7" s="581" t="s">
        <v>17</v>
      </c>
      <c r="B7" s="458" t="s">
        <v>5120</v>
      </c>
      <c r="C7" s="467" t="s">
        <v>5150</v>
      </c>
      <c r="D7" s="468" t="s">
        <v>9</v>
      </c>
      <c r="E7" s="548">
        <f>17.71+9.57+17.51+9.57+239.62</f>
        <v>293.98</v>
      </c>
      <c r="F7" s="574">
        <f>ROUND(E7,2)</f>
        <v>293.98</v>
      </c>
      <c r="G7" s="564" t="s">
        <v>1194</v>
      </c>
      <c r="H7" s="527"/>
    </row>
    <row r="8" spans="1:78" s="563" customFormat="1" x14ac:dyDescent="0.25">
      <c r="A8" s="858" t="s">
        <v>72</v>
      </c>
      <c r="B8" s="859"/>
      <c r="C8" s="859"/>
      <c r="D8" s="859"/>
      <c r="E8" s="874"/>
      <c r="F8" s="574"/>
      <c r="G8" s="582"/>
    </row>
    <row r="9" spans="1:78" s="563" customFormat="1" x14ac:dyDescent="0.25">
      <c r="A9" s="439" t="s">
        <v>54</v>
      </c>
      <c r="B9" s="440" t="s">
        <v>55</v>
      </c>
      <c r="C9" s="441" t="s">
        <v>56</v>
      </c>
      <c r="D9" s="440" t="s">
        <v>57</v>
      </c>
      <c r="E9" s="541" t="s">
        <v>58</v>
      </c>
      <c r="F9" s="574"/>
      <c r="G9" s="582"/>
    </row>
    <row r="10" spans="1:78" s="540" customFormat="1" ht="119.25" customHeight="1" x14ac:dyDescent="0.25">
      <c r="A10" s="457" t="s">
        <v>20</v>
      </c>
      <c r="B10" s="467" t="s">
        <v>5151</v>
      </c>
      <c r="C10" s="467" t="s">
        <v>5152</v>
      </c>
      <c r="D10" s="468" t="s">
        <v>9</v>
      </c>
      <c r="E10" s="548">
        <f>(((37.65*3.35)-13)+331+562.72+338.5+397.4)</f>
        <v>1742.7474999999999</v>
      </c>
      <c r="F10" s="574">
        <f>ROUND(E10,2)</f>
        <v>1742.75</v>
      </c>
      <c r="G10" s="564" t="s">
        <v>1194</v>
      </c>
      <c r="H10" s="583"/>
    </row>
    <row r="11" spans="1:78" s="540" customFormat="1" ht="51" x14ac:dyDescent="0.25">
      <c r="A11" s="457" t="s">
        <v>21</v>
      </c>
      <c r="B11" s="458" t="s">
        <v>5136</v>
      </c>
      <c r="C11" s="467" t="s">
        <v>5153</v>
      </c>
      <c r="D11" s="494" t="s">
        <v>9</v>
      </c>
      <c r="E11" s="584">
        <f>60.5+60.5+105.6+105.6</f>
        <v>332.2</v>
      </c>
      <c r="F11" s="574">
        <f>ROUND(E11,2)</f>
        <v>332.2</v>
      </c>
      <c r="G11" s="564" t="s">
        <v>1194</v>
      </c>
    </row>
    <row r="12" spans="1:78" s="540" customFormat="1" ht="38.25" x14ac:dyDescent="0.25">
      <c r="A12" s="457" t="s">
        <v>22</v>
      </c>
      <c r="B12" s="442" t="s">
        <v>5091</v>
      </c>
      <c r="C12" s="585" t="s">
        <v>5154</v>
      </c>
      <c r="D12" s="444" t="s">
        <v>75</v>
      </c>
      <c r="E12" s="573">
        <f>1.3*4</f>
        <v>5.2</v>
      </c>
      <c r="F12" s="574">
        <f t="shared" ref="F12" si="0">ROUND(E12,2)</f>
        <v>5.2</v>
      </c>
      <c r="G12" s="564" t="s">
        <v>1194</v>
      </c>
      <c r="H12" s="583"/>
    </row>
    <row r="13" spans="1:78" s="540" customFormat="1" ht="25.5" x14ac:dyDescent="0.25">
      <c r="A13" s="457" t="s">
        <v>23</v>
      </c>
      <c r="B13" s="442" t="s">
        <v>5093</v>
      </c>
      <c r="C13" s="453" t="s">
        <v>5155</v>
      </c>
      <c r="D13" s="444" t="s">
        <v>75</v>
      </c>
      <c r="E13" s="573">
        <f>(1.2*2)</f>
        <v>2.4</v>
      </c>
      <c r="F13" s="574">
        <f>ROUND(E13,2)</f>
        <v>2.4</v>
      </c>
      <c r="G13" s="564" t="s">
        <v>1194</v>
      </c>
      <c r="H13" s="583"/>
    </row>
    <row r="14" spans="1:78" s="540" customFormat="1" ht="25.5" x14ac:dyDescent="0.25">
      <c r="A14" s="457" t="s">
        <v>434</v>
      </c>
      <c r="B14" s="442" t="s">
        <v>5095</v>
      </c>
      <c r="C14" s="453" t="s">
        <v>5156</v>
      </c>
      <c r="D14" s="444" t="s">
        <v>75</v>
      </c>
      <c r="E14" s="573">
        <f>(3.4*2)</f>
        <v>6.8</v>
      </c>
      <c r="F14" s="574">
        <f>ROUND(E14,2)</f>
        <v>6.8</v>
      </c>
      <c r="G14" s="564" t="s">
        <v>1194</v>
      </c>
      <c r="H14" s="583"/>
    </row>
    <row r="15" spans="1:78" s="540" customFormat="1" ht="25.5" x14ac:dyDescent="0.25">
      <c r="A15" s="457" t="s">
        <v>435</v>
      </c>
      <c r="B15" s="442" t="s">
        <v>5157</v>
      </c>
      <c r="C15" s="585" t="s">
        <v>5158</v>
      </c>
      <c r="D15" s="444" t="s">
        <v>75</v>
      </c>
      <c r="E15" s="573">
        <f>(1.2*2)</f>
        <v>2.4</v>
      </c>
      <c r="F15" s="574">
        <f t="shared" ref="F15:F16" si="1">ROUND(E15,2)</f>
        <v>2.4</v>
      </c>
      <c r="G15" s="564" t="s">
        <v>1194</v>
      </c>
    </row>
    <row r="16" spans="1:78" s="540" customFormat="1" ht="25.5" x14ac:dyDescent="0.25">
      <c r="A16" s="457" t="s">
        <v>436</v>
      </c>
      <c r="B16" s="442" t="s">
        <v>5159</v>
      </c>
      <c r="C16" s="585" t="s">
        <v>5160</v>
      </c>
      <c r="D16" s="444" t="s">
        <v>75</v>
      </c>
      <c r="E16" s="573">
        <f>(3.4*2)</f>
        <v>6.8</v>
      </c>
      <c r="F16" s="574">
        <f t="shared" si="1"/>
        <v>6.8</v>
      </c>
      <c r="G16" s="564" t="s">
        <v>1194</v>
      </c>
    </row>
    <row r="17" spans="1:7" s="540" customFormat="1" x14ac:dyDescent="0.25">
      <c r="A17" s="858" t="s">
        <v>62</v>
      </c>
      <c r="B17" s="859"/>
      <c r="C17" s="859"/>
      <c r="D17" s="859"/>
      <c r="E17" s="874"/>
      <c r="F17" s="574"/>
      <c r="G17" s="586"/>
    </row>
    <row r="18" spans="1:7" s="540" customFormat="1" x14ac:dyDescent="0.25">
      <c r="A18" s="439" t="s">
        <v>54</v>
      </c>
      <c r="B18" s="440" t="s">
        <v>55</v>
      </c>
      <c r="C18" s="441" t="s">
        <v>56</v>
      </c>
      <c r="D18" s="440" t="s">
        <v>57</v>
      </c>
      <c r="E18" s="541" t="s">
        <v>58</v>
      </c>
      <c r="F18" s="574"/>
      <c r="G18" s="586"/>
    </row>
    <row r="19" spans="1:7" s="540" customFormat="1" ht="25.5" x14ac:dyDescent="0.25">
      <c r="A19" s="457" t="s">
        <v>25</v>
      </c>
      <c r="B19" s="458" t="s">
        <v>1196</v>
      </c>
      <c r="C19" s="467" t="s">
        <v>5161</v>
      </c>
      <c r="D19" s="468" t="s">
        <v>9</v>
      </c>
      <c r="E19" s="548">
        <f>73.93+1461.18</f>
        <v>1535.1100000000001</v>
      </c>
      <c r="F19" s="574">
        <f>ROUND(E19,2)</f>
        <v>1535.11</v>
      </c>
      <c r="G19" s="564" t="s">
        <v>1194</v>
      </c>
    </row>
    <row r="20" spans="1:7" s="540" customFormat="1" ht="25.5" x14ac:dyDescent="0.25">
      <c r="A20" s="457" t="s">
        <v>26</v>
      </c>
      <c r="B20" s="458" t="s">
        <v>5162</v>
      </c>
      <c r="C20" s="467" t="s">
        <v>5163</v>
      </c>
      <c r="D20" s="468" t="s">
        <v>75</v>
      </c>
      <c r="E20" s="548">
        <f>49.7+49.7+16.26</f>
        <v>115.66000000000001</v>
      </c>
      <c r="F20" s="574">
        <f>ROUND(E20,2)</f>
        <v>115.66</v>
      </c>
      <c r="G20" s="564" t="s">
        <v>1194</v>
      </c>
    </row>
    <row r="21" spans="1:7" s="540" customFormat="1" ht="25.5" x14ac:dyDescent="0.25">
      <c r="A21" s="457" t="s">
        <v>27</v>
      </c>
      <c r="B21" s="458" t="s">
        <v>5164</v>
      </c>
      <c r="C21" s="467" t="s">
        <v>5163</v>
      </c>
      <c r="D21" s="468" t="s">
        <v>75</v>
      </c>
      <c r="E21" s="548">
        <f>49.7+49.7+16.26</f>
        <v>115.66000000000001</v>
      </c>
      <c r="F21" s="574">
        <f>ROUND(E21,2)</f>
        <v>115.66</v>
      </c>
      <c r="G21" s="564" t="s">
        <v>1194</v>
      </c>
    </row>
    <row r="22" spans="1:7" s="540" customFormat="1" x14ac:dyDescent="0.25">
      <c r="A22" s="457" t="s">
        <v>1212</v>
      </c>
      <c r="B22" s="458" t="s">
        <v>5165</v>
      </c>
      <c r="C22" s="467" t="s">
        <v>5166</v>
      </c>
      <c r="D22" s="468" t="s">
        <v>75</v>
      </c>
      <c r="E22" s="548">
        <f>49.7+49.7</f>
        <v>99.4</v>
      </c>
      <c r="F22" s="574">
        <f>ROUND(E22,2)</f>
        <v>99.4</v>
      </c>
      <c r="G22" s="564" t="s">
        <v>1194</v>
      </c>
    </row>
    <row r="23" spans="1:7" s="588" customFormat="1" x14ac:dyDescent="0.25">
      <c r="A23" s="866" t="s">
        <v>64</v>
      </c>
      <c r="B23" s="865"/>
      <c r="C23" s="865"/>
      <c r="D23" s="865"/>
      <c r="E23" s="873"/>
      <c r="F23" s="574"/>
      <c r="G23" s="587"/>
    </row>
    <row r="24" spans="1:7" s="565" customFormat="1" x14ac:dyDescent="0.25">
      <c r="A24" s="439" t="s">
        <v>54</v>
      </c>
      <c r="B24" s="589" t="s">
        <v>55</v>
      </c>
      <c r="C24" s="590" t="s">
        <v>56</v>
      </c>
      <c r="D24" s="440" t="s">
        <v>57</v>
      </c>
      <c r="E24" s="541" t="s">
        <v>58</v>
      </c>
      <c r="F24" s="574"/>
      <c r="G24" s="591"/>
    </row>
    <row r="25" spans="1:7" s="540" customFormat="1" ht="25.5" x14ac:dyDescent="0.25">
      <c r="A25" s="457" t="s">
        <v>29</v>
      </c>
      <c r="B25" s="458" t="s">
        <v>5167</v>
      </c>
      <c r="C25" s="467" t="s">
        <v>5168</v>
      </c>
      <c r="D25" s="494" t="s">
        <v>52</v>
      </c>
      <c r="E25" s="548">
        <v>4</v>
      </c>
      <c r="F25" s="574">
        <f>E25</f>
        <v>4</v>
      </c>
      <c r="G25" s="564" t="s">
        <v>1194</v>
      </c>
    </row>
    <row r="26" spans="1:7" s="540" customFormat="1" ht="25.5" x14ac:dyDescent="0.25">
      <c r="A26" s="457" t="s">
        <v>30</v>
      </c>
      <c r="B26" s="458" t="s">
        <v>5169</v>
      </c>
      <c r="C26" s="467" t="s">
        <v>5170</v>
      </c>
      <c r="D26" s="468" t="s">
        <v>9</v>
      </c>
      <c r="E26" s="548">
        <v>10.199999999999999</v>
      </c>
      <c r="F26" s="574">
        <f>E26</f>
        <v>10.199999999999999</v>
      </c>
      <c r="G26" s="564" t="s">
        <v>1194</v>
      </c>
    </row>
    <row r="27" spans="1:7" s="540" customFormat="1" ht="25.5" x14ac:dyDescent="0.25">
      <c r="A27" s="457" t="s">
        <v>66</v>
      </c>
      <c r="B27" s="458" t="s">
        <v>5171</v>
      </c>
      <c r="C27" s="467" t="s">
        <v>5172</v>
      </c>
      <c r="D27" s="468" t="s">
        <v>9</v>
      </c>
      <c r="E27" s="548">
        <f>3*0.8*2</f>
        <v>4.8000000000000007</v>
      </c>
      <c r="F27" s="574">
        <f>E27</f>
        <v>4.8000000000000007</v>
      </c>
      <c r="G27" s="564" t="s">
        <v>1194</v>
      </c>
    </row>
    <row r="28" spans="1:7" s="540" customFormat="1" ht="25.5" x14ac:dyDescent="0.25">
      <c r="A28" s="457" t="s">
        <v>67</v>
      </c>
      <c r="B28" s="458" t="s">
        <v>5173</v>
      </c>
      <c r="C28" s="467" t="s">
        <v>5172</v>
      </c>
      <c r="D28" s="468" t="s">
        <v>9</v>
      </c>
      <c r="E28" s="548">
        <f>0.8*0.4*2</f>
        <v>0.64000000000000012</v>
      </c>
      <c r="F28" s="574">
        <f>E28</f>
        <v>0.64000000000000012</v>
      </c>
      <c r="G28" s="564" t="s">
        <v>1194</v>
      </c>
    </row>
    <row r="29" spans="1:7" s="565" customFormat="1" x14ac:dyDescent="0.25">
      <c r="A29" s="866" t="s">
        <v>564</v>
      </c>
      <c r="B29" s="865"/>
      <c r="C29" s="865"/>
      <c r="D29" s="865"/>
      <c r="E29" s="873"/>
      <c r="F29" s="574"/>
      <c r="G29" s="564"/>
    </row>
    <row r="30" spans="1:7" s="565" customFormat="1" x14ac:dyDescent="0.25">
      <c r="A30" s="439" t="s">
        <v>54</v>
      </c>
      <c r="B30" s="440" t="s">
        <v>55</v>
      </c>
      <c r="C30" s="441" t="s">
        <v>56</v>
      </c>
      <c r="D30" s="440" t="s">
        <v>57</v>
      </c>
      <c r="E30" s="541" t="s">
        <v>58</v>
      </c>
      <c r="F30" s="574"/>
      <c r="G30" s="564"/>
    </row>
    <row r="31" spans="1:7" s="540" customFormat="1" ht="51" x14ac:dyDescent="0.25">
      <c r="A31" s="457" t="s">
        <v>32</v>
      </c>
      <c r="B31" s="458" t="s">
        <v>79</v>
      </c>
      <c r="C31" s="547" t="s">
        <v>5174</v>
      </c>
      <c r="D31" s="468" t="s">
        <v>9</v>
      </c>
      <c r="E31" s="548">
        <f>(E10*2)+279.09+(9*1.7*3.2)</f>
        <v>3813.5450000000001</v>
      </c>
      <c r="F31" s="574">
        <f>ROUND(E31,2)</f>
        <v>3813.55</v>
      </c>
      <c r="G31" s="564" t="s">
        <v>1194</v>
      </c>
    </row>
    <row r="32" spans="1:7" s="540" customFormat="1" ht="63.75" x14ac:dyDescent="0.25">
      <c r="A32" s="457" t="s">
        <v>86</v>
      </c>
      <c r="B32" s="458" t="s">
        <v>90</v>
      </c>
      <c r="C32" s="547" t="s">
        <v>5175</v>
      </c>
      <c r="D32" s="468" t="s">
        <v>9</v>
      </c>
      <c r="E32" s="548">
        <f>E31-E33</f>
        <v>3607.5950000000003</v>
      </c>
      <c r="F32" s="574">
        <f>ROUND(E32,2)</f>
        <v>3607.6</v>
      </c>
      <c r="G32" s="564" t="s">
        <v>1194</v>
      </c>
    </row>
    <row r="33" spans="1:8" s="540" customFormat="1" ht="63.75" x14ac:dyDescent="0.25">
      <c r="A33" s="457" t="s">
        <v>87</v>
      </c>
      <c r="B33" s="458" t="s">
        <v>1197</v>
      </c>
      <c r="C33" s="467" t="s">
        <v>5176</v>
      </c>
      <c r="D33" s="468" t="s">
        <v>9</v>
      </c>
      <c r="E33" s="548">
        <f>97.71+55.39+29.9+(9*1.7*1.5)</f>
        <v>205.95</v>
      </c>
      <c r="F33" s="574">
        <f>ROUND(E33,2)</f>
        <v>205.95</v>
      </c>
      <c r="G33" s="564" t="s">
        <v>1194</v>
      </c>
    </row>
    <row r="34" spans="1:8" s="540" customFormat="1" ht="63.75" x14ac:dyDescent="0.25">
      <c r="A34" s="457" t="s">
        <v>157</v>
      </c>
      <c r="B34" s="458" t="s">
        <v>5177</v>
      </c>
      <c r="C34" s="467" t="s">
        <v>5176</v>
      </c>
      <c r="D34" s="468" t="s">
        <v>9</v>
      </c>
      <c r="E34" s="548">
        <f>97.71+55.39+29.9+(9*1.7*1.5)</f>
        <v>205.95</v>
      </c>
      <c r="F34" s="574">
        <f>ROUND(E34,2)</f>
        <v>205.95</v>
      </c>
      <c r="G34" s="564" t="s">
        <v>1194</v>
      </c>
    </row>
    <row r="35" spans="1:8" s="540" customFormat="1" ht="140.25" x14ac:dyDescent="0.25">
      <c r="A35" s="457" t="s">
        <v>158</v>
      </c>
      <c r="B35" s="467" t="s">
        <v>5178</v>
      </c>
      <c r="C35" s="467" t="s">
        <v>5179</v>
      </c>
      <c r="D35" s="468" t="s">
        <v>9</v>
      </c>
      <c r="E35" s="548">
        <f>15.58+17.58+15.58+11.1+14.34+11.1+(7*1.7*1.5)+(1*1.2*1.5)</f>
        <v>104.92999999999999</v>
      </c>
      <c r="F35" s="574">
        <f>ROUND(E35,2)</f>
        <v>104.93</v>
      </c>
      <c r="G35" s="564" t="s">
        <v>1194</v>
      </c>
    </row>
    <row r="36" spans="1:8" s="565" customFormat="1" x14ac:dyDescent="0.25">
      <c r="A36" s="858" t="s">
        <v>11</v>
      </c>
      <c r="B36" s="859"/>
      <c r="C36" s="859"/>
      <c r="D36" s="859"/>
      <c r="E36" s="874"/>
      <c r="F36" s="574"/>
      <c r="G36" s="586"/>
    </row>
    <row r="37" spans="1:8" s="565" customFormat="1" x14ac:dyDescent="0.25">
      <c r="A37" s="439" t="s">
        <v>54</v>
      </c>
      <c r="B37" s="440" t="s">
        <v>55</v>
      </c>
      <c r="C37" s="441" t="s">
        <v>4782</v>
      </c>
      <c r="D37" s="440" t="s">
        <v>57</v>
      </c>
      <c r="E37" s="541" t="s">
        <v>58</v>
      </c>
      <c r="F37" s="574"/>
      <c r="G37" s="586"/>
    </row>
    <row r="38" spans="1:8" s="540" customFormat="1" ht="38.25" x14ac:dyDescent="0.25">
      <c r="A38" s="457" t="s">
        <v>73</v>
      </c>
      <c r="B38" s="442" t="s">
        <v>1215</v>
      </c>
      <c r="C38" s="467" t="s">
        <v>5180</v>
      </c>
      <c r="D38" s="468" t="s">
        <v>9</v>
      </c>
      <c r="E38" s="559">
        <f>(17.86*2)+(5.49*2)+6.56</f>
        <v>53.260000000000005</v>
      </c>
      <c r="F38" s="574">
        <f>ROUND(E38,2)</f>
        <v>53.26</v>
      </c>
      <c r="G38" s="564" t="s">
        <v>1194</v>
      </c>
    </row>
    <row r="39" spans="1:8" s="448" customFormat="1" ht="38.25" x14ac:dyDescent="0.2">
      <c r="A39" s="457" t="s">
        <v>74</v>
      </c>
      <c r="B39" s="458" t="s">
        <v>4896</v>
      </c>
      <c r="C39" s="459" t="s">
        <v>5181</v>
      </c>
      <c r="D39" s="468" t="s">
        <v>75</v>
      </c>
      <c r="E39" s="446">
        <f>(0.9*4)+3</f>
        <v>6.6</v>
      </c>
      <c r="F39" s="544">
        <f t="shared" ref="F39" si="2">ROUND(E39,2)</f>
        <v>6.6</v>
      </c>
      <c r="G39" s="564" t="s">
        <v>1194</v>
      </c>
      <c r="H39" s="551"/>
    </row>
    <row r="40" spans="1:8" s="565" customFormat="1" x14ac:dyDescent="0.25">
      <c r="A40" s="871" t="s">
        <v>5182</v>
      </c>
      <c r="B40" s="859"/>
      <c r="C40" s="859"/>
      <c r="D40" s="859"/>
      <c r="E40" s="874"/>
      <c r="F40" s="574"/>
      <c r="G40" s="586"/>
    </row>
    <row r="41" spans="1:8" s="565" customFormat="1" x14ac:dyDescent="0.25">
      <c r="A41" s="439" t="s">
        <v>54</v>
      </c>
      <c r="B41" s="440" t="s">
        <v>55</v>
      </c>
      <c r="C41" s="441" t="s">
        <v>56</v>
      </c>
      <c r="D41" s="440" t="s">
        <v>57</v>
      </c>
      <c r="E41" s="541" t="s">
        <v>58</v>
      </c>
      <c r="F41" s="574"/>
      <c r="G41" s="586"/>
    </row>
    <row r="42" spans="1:8" s="540" customFormat="1" ht="38.25" x14ac:dyDescent="0.25">
      <c r="A42" s="457" t="s">
        <v>76</v>
      </c>
      <c r="B42" s="458" t="s">
        <v>1216</v>
      </c>
      <c r="C42" s="467" t="s">
        <v>5180</v>
      </c>
      <c r="D42" s="468" t="s">
        <v>9</v>
      </c>
      <c r="E42" s="559">
        <f>(17.86*2)+(5.49*2)+6.56</f>
        <v>53.260000000000005</v>
      </c>
      <c r="F42" s="574">
        <f>ROUND(E42,2)</f>
        <v>53.26</v>
      </c>
      <c r="G42" s="564" t="s">
        <v>1194</v>
      </c>
    </row>
    <row r="43" spans="1:8" s="540" customFormat="1" ht="63.75" x14ac:dyDescent="0.25">
      <c r="A43" s="457" t="s">
        <v>4895</v>
      </c>
      <c r="B43" s="458" t="s">
        <v>1206</v>
      </c>
      <c r="C43" s="467" t="s">
        <v>5183</v>
      </c>
      <c r="D43" s="468" t="s">
        <v>9</v>
      </c>
      <c r="E43" s="559">
        <f>(0.69*1.8)+(1.57*2*1.8)+(1.97*3*1.8)</f>
        <v>17.532</v>
      </c>
      <c r="F43" s="574">
        <f>ROUND(E43,2)</f>
        <v>17.53</v>
      </c>
      <c r="G43" s="564" t="s">
        <v>1194</v>
      </c>
    </row>
    <row r="44" spans="1:8" s="565" customFormat="1" x14ac:dyDescent="0.25">
      <c r="A44" s="866" t="s">
        <v>12</v>
      </c>
      <c r="B44" s="865"/>
      <c r="C44" s="865"/>
      <c r="D44" s="865"/>
      <c r="E44" s="873"/>
      <c r="F44" s="574"/>
      <c r="G44" s="586"/>
    </row>
    <row r="45" spans="1:8" s="565" customFormat="1" x14ac:dyDescent="0.25">
      <c r="A45" s="439" t="s">
        <v>54</v>
      </c>
      <c r="B45" s="440" t="s">
        <v>55</v>
      </c>
      <c r="C45" s="441" t="s">
        <v>56</v>
      </c>
      <c r="D45" s="440" t="s">
        <v>57</v>
      </c>
      <c r="E45" s="541" t="s">
        <v>58</v>
      </c>
      <c r="F45" s="574"/>
      <c r="G45" s="586"/>
    </row>
    <row r="46" spans="1:8" s="540" customFormat="1" ht="127.5" x14ac:dyDescent="0.25">
      <c r="A46" s="457" t="s">
        <v>78</v>
      </c>
      <c r="B46" s="458" t="s">
        <v>5184</v>
      </c>
      <c r="C46" s="467" t="s">
        <v>5185</v>
      </c>
      <c r="D46" s="468" t="s">
        <v>9</v>
      </c>
      <c r="E46" s="548">
        <f>((22.95*3.35)-4.8)+268.67+562.72+338.5+397.4+(9*1.7*1.7)</f>
        <v>1665.3824999999999</v>
      </c>
      <c r="F46" s="574">
        <f t="shared" ref="F46:F54" si="3">ROUND(E46,2)</f>
        <v>1665.38</v>
      </c>
      <c r="G46" s="564" t="s">
        <v>1194</v>
      </c>
    </row>
    <row r="47" spans="1:8" s="540" customFormat="1" ht="206.25" customHeight="1" x14ac:dyDescent="0.25">
      <c r="A47" s="457" t="s">
        <v>80</v>
      </c>
      <c r="B47" s="458" t="s">
        <v>5186</v>
      </c>
      <c r="C47" s="467" t="s">
        <v>5187</v>
      </c>
      <c r="D47" s="468" t="s">
        <v>9</v>
      </c>
      <c r="E47" s="548">
        <f>331+506.02+338.5+397.4+(17.86*2)+(5.49*2)+6.56</f>
        <v>1626.18</v>
      </c>
      <c r="F47" s="574">
        <f t="shared" si="3"/>
        <v>1626.18</v>
      </c>
      <c r="G47" s="564" t="s">
        <v>1194</v>
      </c>
      <c r="H47" s="592"/>
    </row>
    <row r="48" spans="1:8" s="540" customFormat="1" ht="127.5" x14ac:dyDescent="0.25">
      <c r="A48" s="457" t="s">
        <v>81</v>
      </c>
      <c r="B48" s="458" t="s">
        <v>1217</v>
      </c>
      <c r="C48" s="467" t="s">
        <v>5185</v>
      </c>
      <c r="D48" s="468" t="s">
        <v>9</v>
      </c>
      <c r="E48" s="548">
        <f>((22.95*3.35)-4.8)+268.67+562.72+338.5+397.4+(9*1.7*1.7)</f>
        <v>1665.3824999999999</v>
      </c>
      <c r="F48" s="574">
        <f t="shared" si="3"/>
        <v>1665.38</v>
      </c>
      <c r="G48" s="564" t="s">
        <v>1194</v>
      </c>
    </row>
    <row r="49" spans="1:8" s="540" customFormat="1" ht="25.5" x14ac:dyDescent="0.25">
      <c r="A49" s="457" t="s">
        <v>91</v>
      </c>
      <c r="B49" s="467" t="s">
        <v>5188</v>
      </c>
      <c r="C49" s="467" t="s">
        <v>5189</v>
      </c>
      <c r="D49" s="468" t="s">
        <v>9</v>
      </c>
      <c r="E49" s="548">
        <f>((E47+E48)-(E52+E53))</f>
        <v>2963.9475000000002</v>
      </c>
      <c r="F49" s="574">
        <f t="shared" si="3"/>
        <v>2963.95</v>
      </c>
      <c r="G49" s="564" t="s">
        <v>1194</v>
      </c>
    </row>
    <row r="50" spans="1:8" s="540" customFormat="1" ht="38.25" x14ac:dyDescent="0.25">
      <c r="A50" s="457" t="s">
        <v>92</v>
      </c>
      <c r="B50" s="467" t="s">
        <v>5131</v>
      </c>
      <c r="C50" s="467" t="s">
        <v>5180</v>
      </c>
      <c r="D50" s="468" t="s">
        <v>9</v>
      </c>
      <c r="E50" s="559">
        <f>(17.86*2)+(5.49*2)+6.56</f>
        <v>53.260000000000005</v>
      </c>
      <c r="F50" s="574">
        <f>ROUND(E50,2)</f>
        <v>53.26</v>
      </c>
      <c r="G50" s="564" t="s">
        <v>1194</v>
      </c>
    </row>
    <row r="51" spans="1:8" s="448" customFormat="1" ht="25.5" x14ac:dyDescent="0.2">
      <c r="A51" s="457" t="s">
        <v>4919</v>
      </c>
      <c r="B51" s="467" t="s">
        <v>5133</v>
      </c>
      <c r="C51" s="467" t="s">
        <v>5190</v>
      </c>
      <c r="D51" s="468" t="s">
        <v>9</v>
      </c>
      <c r="E51" s="548">
        <f>118.15*1.2</f>
        <v>141.78</v>
      </c>
      <c r="F51" s="544">
        <f t="shared" ref="F51:F53" si="4">ROUND(E51,2)</f>
        <v>141.78</v>
      </c>
      <c r="G51" s="564" t="s">
        <v>1194</v>
      </c>
    </row>
    <row r="52" spans="1:8" s="540" customFormat="1" ht="38.25" x14ac:dyDescent="0.25">
      <c r="A52" s="457" t="s">
        <v>4922</v>
      </c>
      <c r="B52" s="467" t="s">
        <v>5191</v>
      </c>
      <c r="C52" s="467" t="s">
        <v>5192</v>
      </c>
      <c r="D52" s="468" t="s">
        <v>9</v>
      </c>
      <c r="E52" s="548">
        <f>18.22+204.02+((10.35+12.9)*1.5)+(29.85*1.5)</f>
        <v>301.89</v>
      </c>
      <c r="F52" s="574">
        <f t="shared" si="4"/>
        <v>301.89</v>
      </c>
      <c r="G52" s="564" t="s">
        <v>1194</v>
      </c>
      <c r="H52" s="592"/>
    </row>
    <row r="53" spans="1:8" s="540" customFormat="1" ht="38.25" x14ac:dyDescent="0.25">
      <c r="A53" s="457" t="s">
        <v>4925</v>
      </c>
      <c r="B53" s="467" t="s">
        <v>5193</v>
      </c>
      <c r="C53" s="467" t="s">
        <v>5194</v>
      </c>
      <c r="D53" s="468" t="s">
        <v>9</v>
      </c>
      <c r="E53" s="548">
        <f>(49.7*0.25)+(23.35*0.25)+(29.85*0.25)</f>
        <v>25.725000000000001</v>
      </c>
      <c r="F53" s="574">
        <f t="shared" si="4"/>
        <v>25.73</v>
      </c>
      <c r="G53" s="564" t="s">
        <v>1194</v>
      </c>
    </row>
    <row r="54" spans="1:8" s="499" customFormat="1" ht="25.5" x14ac:dyDescent="0.25">
      <c r="A54" s="474" t="s">
        <v>5195</v>
      </c>
      <c r="B54" s="492" t="s">
        <v>5196</v>
      </c>
      <c r="C54" s="492" t="s">
        <v>5167</v>
      </c>
      <c r="D54" s="477" t="s">
        <v>9</v>
      </c>
      <c r="E54" s="557">
        <f>(0.9*2.1*4)*3</f>
        <v>22.68</v>
      </c>
      <c r="F54" s="593">
        <f t="shared" si="3"/>
        <v>22.68</v>
      </c>
      <c r="G54" s="594" t="s">
        <v>1194</v>
      </c>
      <c r="H54" s="483"/>
    </row>
    <row r="55" spans="1:8" s="565" customFormat="1" x14ac:dyDescent="0.25">
      <c r="A55" s="866" t="s">
        <v>65</v>
      </c>
      <c r="B55" s="865"/>
      <c r="C55" s="865"/>
      <c r="D55" s="865"/>
      <c r="E55" s="873"/>
      <c r="F55" s="574"/>
      <c r="G55" s="586"/>
    </row>
    <row r="56" spans="1:8" s="565" customFormat="1" x14ac:dyDescent="0.25">
      <c r="A56" s="439" t="s">
        <v>54</v>
      </c>
      <c r="B56" s="440" t="s">
        <v>55</v>
      </c>
      <c r="C56" s="441" t="s">
        <v>56</v>
      </c>
      <c r="D56" s="440" t="s">
        <v>57</v>
      </c>
      <c r="E56" s="541" t="s">
        <v>58</v>
      </c>
      <c r="F56" s="574"/>
      <c r="G56" s="586"/>
    </row>
    <row r="57" spans="1:8" s="540" customFormat="1" ht="25.5" x14ac:dyDescent="0.25">
      <c r="A57" s="457" t="s">
        <v>82</v>
      </c>
      <c r="B57" s="458" t="s">
        <v>1202</v>
      </c>
      <c r="C57" s="467" t="s">
        <v>5197</v>
      </c>
      <c r="D57" s="468" t="s">
        <v>9</v>
      </c>
      <c r="E57" s="548">
        <f>1.94*2*0.6</f>
        <v>2.3279999999999998</v>
      </c>
      <c r="F57" s="574">
        <f t="shared" ref="F57:F70" si="5">ROUND(E57,2)</f>
        <v>2.33</v>
      </c>
      <c r="G57" s="564" t="s">
        <v>1194</v>
      </c>
    </row>
    <row r="58" spans="1:8" s="540" customFormat="1" x14ac:dyDescent="0.25">
      <c r="A58" s="457" t="s">
        <v>93</v>
      </c>
      <c r="B58" s="458" t="s">
        <v>1203</v>
      </c>
      <c r="C58" s="467" t="s">
        <v>5198</v>
      </c>
      <c r="D58" s="494" t="s">
        <v>9</v>
      </c>
      <c r="E58" s="584">
        <f>0.55*0.45*6</f>
        <v>1.4850000000000001</v>
      </c>
      <c r="F58" s="574">
        <f t="shared" si="5"/>
        <v>1.49</v>
      </c>
      <c r="G58" s="564" t="s">
        <v>1194</v>
      </c>
    </row>
    <row r="59" spans="1:8" s="540" customFormat="1" ht="25.5" x14ac:dyDescent="0.25">
      <c r="A59" s="457" t="s">
        <v>407</v>
      </c>
      <c r="B59" s="467" t="s">
        <v>1204</v>
      </c>
      <c r="C59" s="467" t="s">
        <v>5199</v>
      </c>
      <c r="D59" s="494" t="s">
        <v>52</v>
      </c>
      <c r="E59" s="548">
        <v>18</v>
      </c>
      <c r="F59" s="574">
        <f t="shared" si="5"/>
        <v>18</v>
      </c>
      <c r="G59" s="564" t="s">
        <v>1194</v>
      </c>
    </row>
    <row r="60" spans="1:8" s="540" customFormat="1" x14ac:dyDescent="0.25">
      <c r="A60" s="457" t="s">
        <v>408</v>
      </c>
      <c r="B60" s="467" t="s">
        <v>1205</v>
      </c>
      <c r="C60" s="467" t="s">
        <v>5200</v>
      </c>
      <c r="D60" s="494" t="s">
        <v>52</v>
      </c>
      <c r="E60" s="548">
        <v>6</v>
      </c>
      <c r="F60" s="574">
        <f t="shared" si="5"/>
        <v>6</v>
      </c>
      <c r="G60" s="564" t="s">
        <v>1194</v>
      </c>
    </row>
    <row r="61" spans="1:8" s="540" customFormat="1" ht="25.5" x14ac:dyDescent="0.25">
      <c r="A61" s="457" t="s">
        <v>409</v>
      </c>
      <c r="B61" s="467" t="s">
        <v>5201</v>
      </c>
      <c r="C61" s="467" t="s">
        <v>5202</v>
      </c>
      <c r="D61" s="494" t="s">
        <v>52</v>
      </c>
      <c r="E61" s="548">
        <v>2</v>
      </c>
      <c r="F61" s="574">
        <f t="shared" si="5"/>
        <v>2</v>
      </c>
      <c r="G61" s="564" t="s">
        <v>1194</v>
      </c>
    </row>
    <row r="62" spans="1:8" s="540" customFormat="1" x14ac:dyDescent="0.25">
      <c r="A62" s="457" t="s">
        <v>513</v>
      </c>
      <c r="B62" s="467" t="s">
        <v>5203</v>
      </c>
      <c r="C62" s="467" t="s">
        <v>5204</v>
      </c>
      <c r="D62" s="494" t="s">
        <v>52</v>
      </c>
      <c r="E62" s="548">
        <v>2</v>
      </c>
      <c r="F62" s="574">
        <f t="shared" si="5"/>
        <v>2</v>
      </c>
      <c r="G62" s="564" t="s">
        <v>1194</v>
      </c>
    </row>
    <row r="63" spans="1:8" s="540" customFormat="1" ht="25.5" x14ac:dyDescent="0.25">
      <c r="A63" s="457" t="s">
        <v>514</v>
      </c>
      <c r="B63" s="467" t="s">
        <v>5205</v>
      </c>
      <c r="C63" s="467" t="s">
        <v>5206</v>
      </c>
      <c r="D63" s="494" t="s">
        <v>52</v>
      </c>
      <c r="E63" s="548">
        <f>24*2</f>
        <v>48</v>
      </c>
      <c r="F63" s="574">
        <f t="shared" si="5"/>
        <v>48</v>
      </c>
      <c r="G63" s="564" t="s">
        <v>1194</v>
      </c>
    </row>
    <row r="64" spans="1:8" s="540" customFormat="1" ht="25.5" x14ac:dyDescent="0.25">
      <c r="A64" s="457" t="s">
        <v>5207</v>
      </c>
      <c r="B64" s="467" t="s">
        <v>5208</v>
      </c>
      <c r="C64" s="467" t="s">
        <v>5209</v>
      </c>
      <c r="D64" s="468" t="s">
        <v>9</v>
      </c>
      <c r="E64" s="548">
        <f>1356.63-E65</f>
        <v>936.65000000000009</v>
      </c>
      <c r="F64" s="574">
        <f t="shared" si="5"/>
        <v>936.65</v>
      </c>
      <c r="G64" s="564" t="s">
        <v>1194</v>
      </c>
    </row>
    <row r="65" spans="1:12" s="540" customFormat="1" x14ac:dyDescent="0.25">
      <c r="A65" s="457" t="s">
        <v>5210</v>
      </c>
      <c r="B65" s="467" t="s">
        <v>5211</v>
      </c>
      <c r="C65" s="467" t="s">
        <v>5212</v>
      </c>
      <c r="D65" s="468" t="s">
        <v>9</v>
      </c>
      <c r="E65" s="548">
        <v>419.98</v>
      </c>
      <c r="F65" s="574">
        <f t="shared" si="5"/>
        <v>419.98</v>
      </c>
      <c r="G65" s="564" t="s">
        <v>1194</v>
      </c>
    </row>
    <row r="66" spans="1:12" s="540" customFormat="1" ht="25.5" x14ac:dyDescent="0.25">
      <c r="A66" s="457" t="s">
        <v>5210</v>
      </c>
      <c r="B66" s="467" t="s">
        <v>5213</v>
      </c>
      <c r="C66" s="467" t="s">
        <v>5214</v>
      </c>
      <c r="D66" s="494" t="s">
        <v>75</v>
      </c>
      <c r="E66" s="548">
        <v>402.3</v>
      </c>
      <c r="F66" s="574">
        <f t="shared" si="5"/>
        <v>402.3</v>
      </c>
      <c r="G66" s="564" t="s">
        <v>1194</v>
      </c>
    </row>
    <row r="67" spans="1:12" s="540" customFormat="1" x14ac:dyDescent="0.25">
      <c r="A67" s="457" t="s">
        <v>5215</v>
      </c>
      <c r="B67" s="458" t="s">
        <v>1198</v>
      </c>
      <c r="C67" s="467" t="s">
        <v>5216</v>
      </c>
      <c r="D67" s="494" t="s">
        <v>152</v>
      </c>
      <c r="E67" s="548">
        <v>1</v>
      </c>
      <c r="F67" s="574">
        <f t="shared" si="5"/>
        <v>1</v>
      </c>
      <c r="G67" s="564" t="s">
        <v>1194</v>
      </c>
    </row>
    <row r="68" spans="1:12" s="540" customFormat="1" x14ac:dyDescent="0.25">
      <c r="A68" s="457" t="s">
        <v>5217</v>
      </c>
      <c r="B68" s="458" t="s">
        <v>1199</v>
      </c>
      <c r="C68" s="467" t="s">
        <v>5216</v>
      </c>
      <c r="D68" s="494" t="s">
        <v>152</v>
      </c>
      <c r="E68" s="548">
        <v>1</v>
      </c>
      <c r="F68" s="574">
        <f t="shared" si="5"/>
        <v>1</v>
      </c>
      <c r="G68" s="564" t="s">
        <v>1194</v>
      </c>
    </row>
    <row r="69" spans="1:12" s="540" customFormat="1" x14ac:dyDescent="0.25">
      <c r="A69" s="457" t="s">
        <v>5218</v>
      </c>
      <c r="B69" s="458" t="s">
        <v>1200</v>
      </c>
      <c r="C69" s="467" t="s">
        <v>5216</v>
      </c>
      <c r="D69" s="494" t="s">
        <v>152</v>
      </c>
      <c r="E69" s="548">
        <v>1</v>
      </c>
      <c r="F69" s="574">
        <f t="shared" si="5"/>
        <v>1</v>
      </c>
      <c r="G69" s="564" t="s">
        <v>1194</v>
      </c>
    </row>
    <row r="70" spans="1:12" s="540" customFormat="1" x14ac:dyDescent="0.25">
      <c r="A70" s="457" t="s">
        <v>5219</v>
      </c>
      <c r="B70" s="458" t="s">
        <v>5220</v>
      </c>
      <c r="C70" s="467" t="s">
        <v>5221</v>
      </c>
      <c r="D70" s="494" t="s">
        <v>52</v>
      </c>
      <c r="E70" s="548">
        <v>2</v>
      </c>
      <c r="F70" s="574">
        <f t="shared" si="5"/>
        <v>2</v>
      </c>
      <c r="G70" s="564" t="s">
        <v>1194</v>
      </c>
    </row>
    <row r="71" spans="1:12" s="438" customFormat="1" x14ac:dyDescent="0.2">
      <c r="A71" s="863" t="s">
        <v>51</v>
      </c>
      <c r="B71" s="864"/>
      <c r="C71" s="865"/>
      <c r="D71" s="865"/>
      <c r="E71" s="873"/>
      <c r="F71" s="544"/>
      <c r="G71" s="586"/>
      <c r="H71" s="448"/>
      <c r="I71" s="448"/>
      <c r="J71" s="448"/>
      <c r="K71" s="448"/>
      <c r="L71" s="448"/>
    </row>
    <row r="72" spans="1:12" s="438" customFormat="1" x14ac:dyDescent="0.2">
      <c r="A72" s="439" t="s">
        <v>54</v>
      </c>
      <c r="B72" s="440" t="s">
        <v>55</v>
      </c>
      <c r="C72" s="441" t="s">
        <v>56</v>
      </c>
      <c r="D72" s="440" t="s">
        <v>57</v>
      </c>
      <c r="E72" s="541" t="s">
        <v>58</v>
      </c>
      <c r="F72" s="544"/>
      <c r="G72" s="586"/>
      <c r="H72" s="448"/>
      <c r="I72" s="448"/>
      <c r="J72" s="448"/>
      <c r="K72" s="448"/>
      <c r="L72" s="448"/>
    </row>
    <row r="73" spans="1:12" s="448" customFormat="1" x14ac:dyDescent="0.2">
      <c r="A73" s="457" t="s">
        <v>82</v>
      </c>
      <c r="B73" s="458" t="s">
        <v>1225</v>
      </c>
      <c r="C73" s="467" t="s">
        <v>5222</v>
      </c>
      <c r="D73" s="468" t="s">
        <v>10</v>
      </c>
      <c r="E73" s="559">
        <f>207.84*0.06</f>
        <v>12.4704</v>
      </c>
      <c r="F73" s="544">
        <f>E73</f>
        <v>12.4704</v>
      </c>
      <c r="G73" s="564" t="s">
        <v>1194</v>
      </c>
    </row>
    <row r="74" spans="1:12" s="565" customFormat="1" x14ac:dyDescent="0.25">
      <c r="A74" s="863" t="s">
        <v>1226</v>
      </c>
      <c r="B74" s="864"/>
      <c r="C74" s="865"/>
      <c r="D74" s="865"/>
      <c r="E74" s="873"/>
      <c r="F74" s="574"/>
      <c r="G74" s="564"/>
    </row>
    <row r="75" spans="1:12" s="565" customFormat="1" x14ac:dyDescent="0.25">
      <c r="A75" s="439" t="s">
        <v>54</v>
      </c>
      <c r="B75" s="440" t="s">
        <v>55</v>
      </c>
      <c r="C75" s="441" t="s">
        <v>56</v>
      </c>
      <c r="D75" s="440" t="s">
        <v>57</v>
      </c>
      <c r="E75" s="541" t="s">
        <v>58</v>
      </c>
      <c r="F75" s="574"/>
      <c r="G75" s="564"/>
    </row>
    <row r="76" spans="1:12" s="540" customFormat="1" x14ac:dyDescent="0.25">
      <c r="A76" s="595" t="s">
        <v>84</v>
      </c>
      <c r="B76" s="596" t="s">
        <v>1227</v>
      </c>
      <c r="C76" s="459" t="s">
        <v>1228</v>
      </c>
      <c r="D76" s="468" t="s">
        <v>9</v>
      </c>
      <c r="E76" s="597">
        <f>E27+E28</f>
        <v>5.4400000000000013</v>
      </c>
      <c r="F76" s="574">
        <f t="shared" ref="F76:F78" si="6">ROUND(E76,2)</f>
        <v>5.44</v>
      </c>
      <c r="G76" s="564" t="s">
        <v>1194</v>
      </c>
    </row>
    <row r="77" spans="1:12" s="540" customFormat="1" x14ac:dyDescent="0.25">
      <c r="A77" s="595" t="s">
        <v>85</v>
      </c>
      <c r="B77" s="596" t="s">
        <v>5223</v>
      </c>
      <c r="C77" s="459" t="s">
        <v>1230</v>
      </c>
      <c r="D77" s="468" t="s">
        <v>9</v>
      </c>
      <c r="E77" s="597">
        <f>E34+E35</f>
        <v>310.88</v>
      </c>
      <c r="F77" s="574">
        <f t="shared" si="6"/>
        <v>310.88</v>
      </c>
      <c r="G77" s="564" t="s">
        <v>1194</v>
      </c>
    </row>
    <row r="78" spans="1:12" s="540" customFormat="1" ht="13.5" thickBot="1" x14ac:dyDescent="0.3">
      <c r="A78" s="504" t="s">
        <v>522</v>
      </c>
      <c r="B78" s="505" t="s">
        <v>5224</v>
      </c>
      <c r="C78" s="598" t="s">
        <v>5225</v>
      </c>
      <c r="D78" s="507" t="s">
        <v>9</v>
      </c>
      <c r="E78" s="599">
        <v>1566.94</v>
      </c>
      <c r="F78" s="574">
        <f t="shared" si="6"/>
        <v>1566.94</v>
      </c>
      <c r="G78" s="564" t="s">
        <v>1194</v>
      </c>
    </row>
    <row r="79" spans="1:12" x14ac:dyDescent="0.25">
      <c r="A79" s="600"/>
      <c r="B79" s="601"/>
      <c r="C79" s="601"/>
      <c r="D79" s="601"/>
      <c r="E79" s="601"/>
    </row>
    <row r="80" spans="1:12" x14ac:dyDescent="0.25">
      <c r="A80" s="600"/>
      <c r="B80" s="601"/>
      <c r="C80" s="601"/>
      <c r="D80" s="601"/>
      <c r="E80" s="601"/>
    </row>
    <row r="81" spans="2:7" x14ac:dyDescent="0.25">
      <c r="B81" s="602"/>
      <c r="C81" s="602"/>
      <c r="D81" s="602"/>
      <c r="E81" s="602"/>
      <c r="F81" s="603"/>
      <c r="G81" s="604"/>
    </row>
    <row r="82" spans="2:7" x14ac:dyDescent="0.25">
      <c r="B82" s="602"/>
      <c r="C82" s="877"/>
      <c r="D82" s="877"/>
      <c r="E82" s="877"/>
      <c r="F82" s="877"/>
      <c r="G82" s="877"/>
    </row>
  </sheetData>
  <mergeCells count="14">
    <mergeCell ref="A23:E23"/>
    <mergeCell ref="A1:E1"/>
    <mergeCell ref="A2:E2"/>
    <mergeCell ref="A5:E5"/>
    <mergeCell ref="A8:E8"/>
    <mergeCell ref="A17:E17"/>
    <mergeCell ref="A74:E74"/>
    <mergeCell ref="C82:G82"/>
    <mergeCell ref="A29:E29"/>
    <mergeCell ref="A36:E36"/>
    <mergeCell ref="A40:E40"/>
    <mergeCell ref="A44:E44"/>
    <mergeCell ref="A55:E55"/>
    <mergeCell ref="A71:E71"/>
  </mergeCells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  <colBreaks count="1" manualBreakCount="1">
    <brk id="5" max="7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view="pageBreakPreview" zoomScale="60" zoomScaleNormal="100" workbookViewId="0">
      <selection activeCell="I2" sqref="I2:J2"/>
    </sheetView>
  </sheetViews>
  <sheetFormatPr defaultColWidth="9.140625" defaultRowHeight="15" x14ac:dyDescent="0.25"/>
  <cols>
    <col min="1" max="7" width="9.140625" style="345"/>
    <col min="8" max="8" width="21.7109375" style="345" customWidth="1"/>
    <col min="9" max="9" width="9.5703125" style="605" bestFit="1" customWidth="1"/>
    <col min="10" max="10" width="9.140625" style="345"/>
    <col min="11" max="11" width="23.5703125" style="345" bestFit="1" customWidth="1"/>
    <col min="12" max="13" width="9.140625" style="345"/>
    <col min="14" max="14" width="20.42578125" style="345" bestFit="1" customWidth="1"/>
    <col min="15" max="16384" width="9.140625" style="345"/>
  </cols>
  <sheetData>
    <row r="1" spans="1:14" ht="60" customHeight="1" thickBot="1" x14ac:dyDescent="0.3">
      <c r="A1" s="891" t="s">
        <v>5226</v>
      </c>
      <c r="B1" s="892"/>
      <c r="C1" s="892"/>
      <c r="D1" s="892"/>
      <c r="E1" s="892"/>
      <c r="F1" s="892"/>
      <c r="G1" s="892"/>
      <c r="H1" s="892"/>
      <c r="I1" s="893"/>
    </row>
    <row r="2" spans="1:14" ht="15.75" thickBot="1" x14ac:dyDescent="0.3"/>
    <row r="3" spans="1:14" ht="18" thickBot="1" x14ac:dyDescent="0.3">
      <c r="A3" s="894" t="s">
        <v>254</v>
      </c>
      <c r="B3" s="895"/>
      <c r="C3" s="895"/>
      <c r="D3" s="895"/>
      <c r="E3" s="895"/>
      <c r="F3" s="895"/>
      <c r="G3" s="895"/>
      <c r="H3" s="895"/>
      <c r="I3" s="896"/>
    </row>
    <row r="4" spans="1:14" ht="18" thickBot="1" x14ac:dyDescent="0.3">
      <c r="A4" s="897" t="s">
        <v>255</v>
      </c>
      <c r="B4" s="898"/>
      <c r="C4" s="898"/>
      <c r="D4" s="898"/>
      <c r="E4" s="898"/>
      <c r="F4" s="898"/>
      <c r="G4" s="898"/>
      <c r="H4" s="898"/>
      <c r="I4" s="899"/>
      <c r="K4" s="606">
        <f>K5/I5</f>
        <v>0.68808232857154639</v>
      </c>
      <c r="N4" s="606">
        <f>M5/I5</f>
        <v>0.31191767142845356</v>
      </c>
    </row>
    <row r="5" spans="1:14" ht="30" customHeight="1" x14ac:dyDescent="0.25">
      <c r="A5" s="900" t="s">
        <v>5227</v>
      </c>
      <c r="B5" s="901"/>
      <c r="C5" s="901"/>
      <c r="D5" s="901"/>
      <c r="E5" s="901"/>
      <c r="F5" s="901"/>
      <c r="G5" s="901"/>
      <c r="H5" s="901"/>
      <c r="I5" s="607">
        <v>1211.73</v>
      </c>
      <c r="J5" s="345" t="s">
        <v>89</v>
      </c>
      <c r="K5" s="608">
        <v>833.77</v>
      </c>
      <c r="L5" s="608" t="s">
        <v>5228</v>
      </c>
      <c r="M5" s="609">
        <f>I5-K5</f>
        <v>377.96000000000004</v>
      </c>
      <c r="N5" s="608" t="s">
        <v>5229</v>
      </c>
    </row>
    <row r="6" spans="1:14" ht="45" customHeight="1" x14ac:dyDescent="0.25">
      <c r="A6" s="887" t="s">
        <v>5230</v>
      </c>
      <c r="B6" s="888"/>
      <c r="C6" s="888"/>
      <c r="D6" s="888"/>
      <c r="E6" s="888"/>
      <c r="F6" s="888"/>
      <c r="G6" s="888"/>
      <c r="H6" s="888"/>
      <c r="I6" s="610">
        <v>528.45000000000005</v>
      </c>
      <c r="J6" s="345" t="s">
        <v>61</v>
      </c>
      <c r="L6" s="99"/>
    </row>
    <row r="7" spans="1:14" ht="30" customHeight="1" x14ac:dyDescent="0.25">
      <c r="A7" s="889" t="s">
        <v>5231</v>
      </c>
      <c r="B7" s="890"/>
      <c r="C7" s="890"/>
      <c r="D7" s="890"/>
      <c r="E7" s="890"/>
      <c r="F7" s="890"/>
      <c r="G7" s="890"/>
      <c r="H7" s="890"/>
      <c r="I7" s="610">
        <f>I6</f>
        <v>528.45000000000005</v>
      </c>
      <c r="J7" s="345" t="s">
        <v>61</v>
      </c>
      <c r="K7" s="611"/>
      <c r="L7" s="99"/>
    </row>
    <row r="8" spans="1:14" ht="30" customHeight="1" x14ac:dyDescent="0.25">
      <c r="A8" s="887" t="s">
        <v>5232</v>
      </c>
      <c r="B8" s="888"/>
      <c r="C8" s="888"/>
      <c r="D8" s="888"/>
      <c r="E8" s="888"/>
      <c r="F8" s="888"/>
      <c r="G8" s="888"/>
      <c r="H8" s="888"/>
      <c r="I8" s="610">
        <v>1095.1199999999999</v>
      </c>
      <c r="J8" s="345" t="s">
        <v>61</v>
      </c>
      <c r="L8" s="99"/>
    </row>
    <row r="9" spans="1:14" ht="30" customHeight="1" x14ac:dyDescent="0.25">
      <c r="A9" s="889" t="s">
        <v>5233</v>
      </c>
      <c r="B9" s="890"/>
      <c r="C9" s="890"/>
      <c r="D9" s="890"/>
      <c r="E9" s="890"/>
      <c r="F9" s="890"/>
      <c r="G9" s="890"/>
      <c r="H9" s="890"/>
      <c r="I9" s="610">
        <v>1153.7</v>
      </c>
      <c r="J9" s="345" t="s">
        <v>2682</v>
      </c>
      <c r="L9" s="99"/>
    </row>
    <row r="10" spans="1:14" ht="30" customHeight="1" x14ac:dyDescent="0.25">
      <c r="A10" s="889" t="s">
        <v>5234</v>
      </c>
      <c r="B10" s="890"/>
      <c r="C10" s="890"/>
      <c r="D10" s="890"/>
      <c r="E10" s="890"/>
      <c r="F10" s="890"/>
      <c r="G10" s="890"/>
      <c r="H10" s="890"/>
      <c r="I10" s="612">
        <v>9471.76</v>
      </c>
      <c r="J10" s="345" t="s">
        <v>2682</v>
      </c>
      <c r="L10" s="99"/>
    </row>
    <row r="11" spans="1:14" ht="30" customHeight="1" x14ac:dyDescent="0.25">
      <c r="A11" s="889" t="s">
        <v>5235</v>
      </c>
      <c r="B11" s="890"/>
      <c r="C11" s="890"/>
      <c r="D11" s="890"/>
      <c r="E11" s="890"/>
      <c r="F11" s="890"/>
      <c r="G11" s="890"/>
      <c r="H11" s="890"/>
      <c r="I11" s="610">
        <v>3671.64</v>
      </c>
      <c r="J11" s="345" t="s">
        <v>2682</v>
      </c>
      <c r="L11" s="99"/>
    </row>
    <row r="12" spans="1:14" ht="30" customHeight="1" x14ac:dyDescent="0.25">
      <c r="A12" s="889" t="s">
        <v>5236</v>
      </c>
      <c r="B12" s="890"/>
      <c r="C12" s="890"/>
      <c r="D12" s="890"/>
      <c r="E12" s="890"/>
      <c r="F12" s="890"/>
      <c r="G12" s="890"/>
      <c r="H12" s="890"/>
      <c r="I12" s="610">
        <v>272.89</v>
      </c>
      <c r="J12" s="345" t="s">
        <v>89</v>
      </c>
      <c r="L12" s="99">
        <f>(I11+I10+I9)/I12</f>
        <v>52.391439774268022</v>
      </c>
    </row>
    <row r="13" spans="1:14" ht="30" customHeight="1" x14ac:dyDescent="0.25">
      <c r="A13" s="889" t="s">
        <v>5237</v>
      </c>
      <c r="B13" s="890"/>
      <c r="C13" s="890"/>
      <c r="D13" s="890"/>
      <c r="E13" s="890"/>
      <c r="F13" s="890"/>
      <c r="G13" s="890"/>
      <c r="H13" s="890"/>
      <c r="I13" s="610">
        <f>I12</f>
        <v>272.89</v>
      </c>
      <c r="J13" s="345" t="s">
        <v>89</v>
      </c>
      <c r="L13" s="99"/>
    </row>
    <row r="14" spans="1:14" ht="30" customHeight="1" x14ac:dyDescent="0.25">
      <c r="A14" s="887" t="s">
        <v>5238</v>
      </c>
      <c r="B14" s="888"/>
      <c r="C14" s="888"/>
      <c r="D14" s="888"/>
      <c r="E14" s="888"/>
      <c r="F14" s="888"/>
      <c r="G14" s="888"/>
      <c r="H14" s="888"/>
      <c r="I14" s="610">
        <f>I5-I12</f>
        <v>938.84</v>
      </c>
      <c r="J14" s="345" t="s">
        <v>89</v>
      </c>
      <c r="K14" s="609">
        <v>646</v>
      </c>
      <c r="L14" s="613" t="s">
        <v>5228</v>
      </c>
      <c r="M14" s="614">
        <f>TRUNC(I14*N4,2)</f>
        <v>292.83999999999997</v>
      </c>
      <c r="N14" s="608" t="s">
        <v>5229</v>
      </c>
    </row>
    <row r="15" spans="1:14" ht="30" customHeight="1" x14ac:dyDescent="0.25">
      <c r="A15" s="887" t="s">
        <v>5239</v>
      </c>
      <c r="B15" s="888"/>
      <c r="C15" s="888"/>
      <c r="D15" s="888"/>
      <c r="E15" s="888"/>
      <c r="F15" s="888"/>
      <c r="G15" s="888"/>
      <c r="H15" s="888"/>
      <c r="I15" s="610">
        <f>I13*1.3</f>
        <v>354.75700000000001</v>
      </c>
      <c r="J15" s="345" t="s">
        <v>89</v>
      </c>
      <c r="L15" s="99"/>
    </row>
  </sheetData>
  <mergeCells count="14">
    <mergeCell ref="A7:H7"/>
    <mergeCell ref="A1:I1"/>
    <mergeCell ref="A3:I3"/>
    <mergeCell ref="A4:I4"/>
    <mergeCell ref="A5:H5"/>
    <mergeCell ref="A6:H6"/>
    <mergeCell ref="A14:H14"/>
    <mergeCell ref="A15:H15"/>
    <mergeCell ref="A8:H8"/>
    <mergeCell ref="A9:H9"/>
    <mergeCell ref="A10:H10"/>
    <mergeCell ref="A11:H11"/>
    <mergeCell ref="A12:H12"/>
    <mergeCell ref="A13:H13"/>
  </mergeCells>
  <pageMargins left="0.511811024" right="0.511811024" top="0.78740157499999996" bottom="0.78740157499999996" header="0.31496062000000002" footer="0.31496062000000002"/>
  <pageSetup paperSize="9" scale="8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view="pageBreakPreview" zoomScale="60" zoomScaleNormal="100" workbookViewId="0">
      <selection activeCell="J16" sqref="J1:J1048576"/>
    </sheetView>
  </sheetViews>
  <sheetFormatPr defaultRowHeight="15" x14ac:dyDescent="0.25"/>
  <cols>
    <col min="1" max="7" width="9.140625" style="345"/>
    <col min="8" max="8" width="24.28515625" style="345" customWidth="1"/>
    <col min="9" max="9" width="9.5703125" style="605" bestFit="1" customWidth="1"/>
    <col min="10" max="16384" width="9.140625" style="345"/>
  </cols>
  <sheetData>
    <row r="1" spans="1:9" ht="60" customHeight="1" thickBot="1" x14ac:dyDescent="0.3">
      <c r="A1" s="938" t="s">
        <v>5240</v>
      </c>
      <c r="B1" s="939"/>
      <c r="C1" s="939"/>
      <c r="D1" s="939"/>
      <c r="E1" s="939"/>
      <c r="F1" s="939"/>
      <c r="G1" s="939"/>
      <c r="H1" s="939"/>
      <c r="I1" s="940"/>
    </row>
    <row r="2" spans="1:9" ht="15.75" thickBot="1" x14ac:dyDescent="0.3"/>
    <row r="3" spans="1:9" ht="45" customHeight="1" thickBot="1" x14ac:dyDescent="0.3">
      <c r="A3" s="894" t="s">
        <v>253</v>
      </c>
      <c r="B3" s="895"/>
      <c r="C3" s="895"/>
      <c r="D3" s="895"/>
      <c r="E3" s="895"/>
      <c r="F3" s="895"/>
      <c r="G3" s="895"/>
      <c r="H3" s="895"/>
      <c r="I3" s="896"/>
    </row>
    <row r="4" spans="1:9" ht="30" customHeight="1" x14ac:dyDescent="0.25">
      <c r="A4" s="900" t="s">
        <v>5242</v>
      </c>
      <c r="B4" s="901"/>
      <c r="C4" s="901"/>
      <c r="D4" s="901"/>
      <c r="E4" s="901"/>
      <c r="F4" s="901"/>
      <c r="G4" s="901"/>
      <c r="H4" s="901"/>
      <c r="I4" s="617">
        <f>0.6*I24</f>
        <v>578.08199999999999</v>
      </c>
    </row>
    <row r="5" spans="1:9" ht="45" customHeight="1" x14ac:dyDescent="0.25">
      <c r="A5" s="887" t="s">
        <v>5244</v>
      </c>
      <c r="B5" s="888"/>
      <c r="C5" s="888"/>
      <c r="D5" s="888"/>
      <c r="E5" s="888"/>
      <c r="F5" s="888"/>
      <c r="G5" s="888"/>
      <c r="H5" s="888"/>
      <c r="I5" s="620">
        <f>I24</f>
        <v>963.47</v>
      </c>
    </row>
    <row r="6" spans="1:9" ht="30" customHeight="1" thickBot="1" x14ac:dyDescent="0.3">
      <c r="A6" s="902" t="s">
        <v>5246</v>
      </c>
      <c r="B6" s="903"/>
      <c r="C6" s="903"/>
      <c r="D6" s="903"/>
      <c r="E6" s="903"/>
      <c r="F6" s="903"/>
      <c r="G6" s="903"/>
      <c r="H6" s="903"/>
      <c r="I6" s="622">
        <f>I4</f>
        <v>578.08199999999999</v>
      </c>
    </row>
    <row r="7" spans="1:9" ht="15.75" thickBot="1" x14ac:dyDescent="0.3"/>
    <row r="8" spans="1:9" ht="44.25" customHeight="1" thickBot="1" x14ac:dyDescent="0.3">
      <c r="A8" s="894" t="s">
        <v>254</v>
      </c>
      <c r="B8" s="895"/>
      <c r="C8" s="895"/>
      <c r="D8" s="895"/>
      <c r="E8" s="895"/>
      <c r="F8" s="895"/>
      <c r="G8" s="895"/>
      <c r="H8" s="895"/>
      <c r="I8" s="896"/>
    </row>
    <row r="9" spans="1:9" ht="44.25" customHeight="1" thickBot="1" x14ac:dyDescent="0.3">
      <c r="A9" s="897" t="s">
        <v>255</v>
      </c>
      <c r="B9" s="898"/>
      <c r="C9" s="898"/>
      <c r="D9" s="898"/>
      <c r="E9" s="898"/>
      <c r="F9" s="898"/>
      <c r="G9" s="898"/>
      <c r="H9" s="898"/>
      <c r="I9" s="899"/>
    </row>
    <row r="10" spans="1:9" ht="30" customHeight="1" x14ac:dyDescent="0.25">
      <c r="A10" s="900" t="s">
        <v>5247</v>
      </c>
      <c r="B10" s="901"/>
      <c r="C10" s="901"/>
      <c r="D10" s="901"/>
      <c r="E10" s="901"/>
      <c r="F10" s="901"/>
      <c r="G10" s="901"/>
      <c r="H10" s="901"/>
      <c r="I10" s="617">
        <f>80*12</f>
        <v>960</v>
      </c>
    </row>
    <row r="11" spans="1:9" ht="30" customHeight="1" x14ac:dyDescent="0.25">
      <c r="A11" s="889" t="s">
        <v>5249</v>
      </c>
      <c r="B11" s="890"/>
      <c r="C11" s="890"/>
      <c r="D11" s="890"/>
      <c r="E11" s="890"/>
      <c r="F11" s="890"/>
      <c r="G11" s="890"/>
      <c r="H11" s="890"/>
      <c r="I11" s="617">
        <v>616</v>
      </c>
    </row>
    <row r="12" spans="1:9" ht="30" customHeight="1" x14ac:dyDescent="0.25">
      <c r="A12" s="889" t="s">
        <v>5251</v>
      </c>
      <c r="B12" s="890"/>
      <c r="C12" s="890"/>
      <c r="D12" s="890"/>
      <c r="E12" s="890"/>
      <c r="F12" s="890"/>
      <c r="G12" s="890"/>
      <c r="H12" s="890"/>
      <c r="I12" s="617">
        <v>1517</v>
      </c>
    </row>
    <row r="13" spans="1:9" ht="30" customHeight="1" x14ac:dyDescent="0.25">
      <c r="A13" s="900" t="s">
        <v>5253</v>
      </c>
      <c r="B13" s="901"/>
      <c r="C13" s="901"/>
      <c r="D13" s="901"/>
      <c r="E13" s="901"/>
      <c r="F13" s="901"/>
      <c r="G13" s="901"/>
      <c r="H13" s="901"/>
      <c r="I13" s="617">
        <f>16*1*1*0.65+31*1.9*1*0.65+2*1.1*0.65</f>
        <v>50.115000000000002</v>
      </c>
    </row>
    <row r="14" spans="1:9" ht="45" customHeight="1" x14ac:dyDescent="0.25">
      <c r="A14" s="887" t="s">
        <v>5255</v>
      </c>
      <c r="B14" s="888"/>
      <c r="C14" s="888"/>
      <c r="D14" s="888"/>
      <c r="E14" s="888"/>
      <c r="F14" s="888"/>
      <c r="G14" s="888"/>
      <c r="H14" s="888"/>
      <c r="I14" s="620">
        <f>I41/0.14*0.54</f>
        <v>105.95571428571428</v>
      </c>
    </row>
    <row r="15" spans="1:9" ht="30" customHeight="1" x14ac:dyDescent="0.25">
      <c r="A15" s="889" t="s">
        <v>5257</v>
      </c>
      <c r="B15" s="890"/>
      <c r="C15" s="890"/>
      <c r="D15" s="890"/>
      <c r="E15" s="890"/>
      <c r="F15" s="890"/>
      <c r="G15" s="890"/>
      <c r="H15" s="890"/>
      <c r="I15" s="620">
        <f>16*1*1+31*1.9*1+2*1.1</f>
        <v>77.100000000000009</v>
      </c>
    </row>
    <row r="16" spans="1:9" ht="30" customHeight="1" x14ac:dyDescent="0.25">
      <c r="A16" s="887" t="s">
        <v>5258</v>
      </c>
      <c r="B16" s="888"/>
      <c r="C16" s="888"/>
      <c r="D16" s="888"/>
      <c r="E16" s="888"/>
      <c r="F16" s="888"/>
      <c r="G16" s="888"/>
      <c r="H16" s="888"/>
      <c r="I16" s="620">
        <f>I14/0.6</f>
        <v>176.59285714285713</v>
      </c>
    </row>
    <row r="17" spans="1:9" ht="30" customHeight="1" x14ac:dyDescent="0.25">
      <c r="A17" s="889" t="s">
        <v>5259</v>
      </c>
      <c r="B17" s="890"/>
      <c r="C17" s="890"/>
      <c r="D17" s="890"/>
      <c r="E17" s="890"/>
      <c r="F17" s="890"/>
      <c r="G17" s="890"/>
      <c r="H17" s="890"/>
      <c r="I17" s="620">
        <f>I15</f>
        <v>77.100000000000009</v>
      </c>
    </row>
    <row r="18" spans="1:9" ht="30" customHeight="1" x14ac:dyDescent="0.25">
      <c r="A18" s="912" t="s">
        <v>5261</v>
      </c>
      <c r="B18" s="913"/>
      <c r="C18" s="913"/>
      <c r="D18" s="913"/>
      <c r="E18" s="913"/>
      <c r="F18" s="913"/>
      <c r="G18" s="913"/>
      <c r="H18" s="913"/>
      <c r="I18" s="630">
        <f>I16</f>
        <v>176.59285714285713</v>
      </c>
    </row>
    <row r="19" spans="1:9" ht="30" customHeight="1" x14ac:dyDescent="0.25">
      <c r="A19" s="887" t="s">
        <v>5263</v>
      </c>
      <c r="B19" s="888"/>
      <c r="C19" s="888"/>
      <c r="D19" s="888"/>
      <c r="E19" s="888"/>
      <c r="F19" s="888"/>
      <c r="G19" s="888"/>
      <c r="H19" s="888"/>
      <c r="I19" s="620">
        <f>I13-I33</f>
        <v>29.245000000000001</v>
      </c>
    </row>
    <row r="20" spans="1:9" ht="30" customHeight="1" x14ac:dyDescent="0.25">
      <c r="A20" s="887" t="s">
        <v>5264</v>
      </c>
      <c r="B20" s="888"/>
      <c r="C20" s="888"/>
      <c r="D20" s="888"/>
      <c r="E20" s="888"/>
      <c r="F20" s="888"/>
      <c r="G20" s="888"/>
      <c r="H20" s="888"/>
      <c r="I20" s="620">
        <f>I14-I41</f>
        <v>78.48571428571428</v>
      </c>
    </row>
    <row r="21" spans="1:9" ht="30" customHeight="1" x14ac:dyDescent="0.25">
      <c r="A21" s="887" t="s">
        <v>5265</v>
      </c>
      <c r="B21" s="888"/>
      <c r="C21" s="888"/>
      <c r="D21" s="888"/>
      <c r="E21" s="888"/>
      <c r="F21" s="888"/>
      <c r="G21" s="888"/>
      <c r="H21" s="888"/>
      <c r="I21" s="620">
        <f>I33*1.4</f>
        <v>29.218</v>
      </c>
    </row>
    <row r="22" spans="1:9" ht="30" customHeight="1" x14ac:dyDescent="0.25">
      <c r="A22" s="887" t="s">
        <v>5266</v>
      </c>
      <c r="B22" s="888"/>
      <c r="C22" s="888"/>
      <c r="D22" s="888"/>
      <c r="E22" s="888"/>
      <c r="F22" s="888"/>
      <c r="G22" s="888"/>
      <c r="H22" s="888"/>
      <c r="I22" s="620">
        <f>I41*1.4</f>
        <v>38.457999999999998</v>
      </c>
    </row>
    <row r="23" spans="1:9" ht="30" customHeight="1" x14ac:dyDescent="0.25">
      <c r="A23" s="936" t="s">
        <v>5267</v>
      </c>
      <c r="B23" s="937"/>
      <c r="C23" s="937"/>
      <c r="D23" s="937"/>
      <c r="E23" s="937"/>
      <c r="F23" s="937"/>
      <c r="G23" s="937"/>
      <c r="H23" s="937"/>
      <c r="I23" s="632">
        <f>I40</f>
        <v>442.43</v>
      </c>
    </row>
    <row r="24" spans="1:9" ht="30" customHeight="1" thickBot="1" x14ac:dyDescent="0.3">
      <c r="A24" s="934" t="s">
        <v>5268</v>
      </c>
      <c r="B24" s="935"/>
      <c r="C24" s="935"/>
      <c r="D24" s="935"/>
      <c r="E24" s="935"/>
      <c r="F24" s="935"/>
      <c r="G24" s="935"/>
      <c r="H24" s="935"/>
      <c r="I24" s="622">
        <v>963.47</v>
      </c>
    </row>
    <row r="25" spans="1:9" ht="45" customHeight="1" x14ac:dyDescent="0.25">
      <c r="A25" s="914" t="s">
        <v>100</v>
      </c>
      <c r="B25" s="915"/>
      <c r="C25" s="915"/>
      <c r="D25" s="915"/>
      <c r="E25" s="915"/>
      <c r="F25" s="915"/>
      <c r="G25" s="915"/>
      <c r="H25" s="915"/>
      <c r="I25" s="916"/>
    </row>
    <row r="26" spans="1:9" ht="30" customHeight="1" x14ac:dyDescent="0.25">
      <c r="A26" s="887" t="s">
        <v>5270</v>
      </c>
      <c r="B26" s="888"/>
      <c r="C26" s="888"/>
      <c r="D26" s="888"/>
      <c r="E26" s="888"/>
      <c r="F26" s="888"/>
      <c r="G26" s="888"/>
      <c r="H26" s="888"/>
      <c r="I26" s="620">
        <f>I27*0.05</f>
        <v>48.173500000000004</v>
      </c>
    </row>
    <row r="27" spans="1:9" ht="30" customHeight="1" x14ac:dyDescent="0.25">
      <c r="A27" s="889" t="s">
        <v>5272</v>
      </c>
      <c r="B27" s="890"/>
      <c r="C27" s="890"/>
      <c r="D27" s="890"/>
      <c r="E27" s="890"/>
      <c r="F27" s="890"/>
      <c r="G27" s="890"/>
      <c r="H27" s="890"/>
      <c r="I27" s="620">
        <f>I24</f>
        <v>963.47</v>
      </c>
    </row>
    <row r="28" spans="1:9" ht="30" customHeight="1" x14ac:dyDescent="0.25">
      <c r="A28" s="889" t="s">
        <v>5274</v>
      </c>
      <c r="B28" s="890"/>
      <c r="C28" s="890"/>
      <c r="D28" s="890"/>
      <c r="E28" s="890"/>
      <c r="F28" s="890"/>
      <c r="G28" s="890"/>
      <c r="H28" s="890"/>
      <c r="I28" s="620">
        <f>I24*0.07</f>
        <v>67.442900000000009</v>
      </c>
    </row>
    <row r="29" spans="1:9" ht="30" customHeight="1" x14ac:dyDescent="0.25">
      <c r="A29" s="889" t="s">
        <v>5237</v>
      </c>
      <c r="B29" s="890"/>
      <c r="C29" s="890"/>
      <c r="D29" s="890"/>
      <c r="E29" s="890"/>
      <c r="F29" s="890"/>
      <c r="G29" s="890"/>
      <c r="H29" s="890"/>
      <c r="I29" s="620">
        <f>I28</f>
        <v>67.442900000000009</v>
      </c>
    </row>
    <row r="30" spans="1:9" ht="30" customHeight="1" thickBot="1" x14ac:dyDescent="0.3">
      <c r="A30" s="928" t="s">
        <v>5275</v>
      </c>
      <c r="B30" s="929"/>
      <c r="C30" s="929"/>
      <c r="D30" s="929"/>
      <c r="E30" s="929"/>
      <c r="F30" s="929"/>
      <c r="G30" s="929"/>
      <c r="H30" s="930"/>
      <c r="I30" s="622">
        <f>I24*1.2</f>
        <v>1156.164</v>
      </c>
    </row>
    <row r="31" spans="1:9" ht="45" customHeight="1" thickBot="1" x14ac:dyDescent="0.3">
      <c r="A31" s="922" t="s">
        <v>3215</v>
      </c>
      <c r="B31" s="923"/>
      <c r="C31" s="923"/>
      <c r="D31" s="923"/>
      <c r="E31" s="923"/>
      <c r="F31" s="923"/>
      <c r="G31" s="923"/>
      <c r="H31" s="923"/>
      <c r="I31" s="924"/>
    </row>
    <row r="32" spans="1:9" ht="30" customHeight="1" x14ac:dyDescent="0.25">
      <c r="A32" s="931" t="s">
        <v>5278</v>
      </c>
      <c r="B32" s="932"/>
      <c r="C32" s="932"/>
      <c r="D32" s="932"/>
      <c r="E32" s="932"/>
      <c r="F32" s="932"/>
      <c r="G32" s="932"/>
      <c r="H32" s="933"/>
      <c r="I32" s="617">
        <v>103.92</v>
      </c>
    </row>
    <row r="33" spans="1:9" ht="30" customHeight="1" x14ac:dyDescent="0.25">
      <c r="A33" s="925" t="s">
        <v>5279</v>
      </c>
      <c r="B33" s="926"/>
      <c r="C33" s="926"/>
      <c r="D33" s="926"/>
      <c r="E33" s="926"/>
      <c r="F33" s="926"/>
      <c r="G33" s="926"/>
      <c r="H33" s="927"/>
      <c r="I33" s="620">
        <v>20.87</v>
      </c>
    </row>
    <row r="34" spans="1:9" ht="30" customHeight="1" x14ac:dyDescent="0.25">
      <c r="A34" s="925" t="s">
        <v>5237</v>
      </c>
      <c r="B34" s="926"/>
      <c r="C34" s="926"/>
      <c r="D34" s="926"/>
      <c r="E34" s="926"/>
      <c r="F34" s="926"/>
      <c r="G34" s="926"/>
      <c r="H34" s="927"/>
      <c r="I34" s="620">
        <f>I33</f>
        <v>20.87</v>
      </c>
    </row>
    <row r="35" spans="1:9" ht="30" customHeight="1" x14ac:dyDescent="0.25">
      <c r="A35" s="889" t="s">
        <v>5280</v>
      </c>
      <c r="B35" s="890"/>
      <c r="C35" s="890"/>
      <c r="D35" s="890"/>
      <c r="E35" s="890"/>
      <c r="F35" s="890"/>
      <c r="G35" s="890"/>
      <c r="H35" s="890"/>
      <c r="I35" s="620">
        <v>351</v>
      </c>
    </row>
    <row r="36" spans="1:9" ht="30" customHeight="1" x14ac:dyDescent="0.25">
      <c r="A36" s="889" t="s">
        <v>5281</v>
      </c>
      <c r="B36" s="890"/>
      <c r="C36" s="890"/>
      <c r="D36" s="890"/>
      <c r="E36" s="890"/>
      <c r="F36" s="890"/>
      <c r="G36" s="890"/>
      <c r="H36" s="890"/>
      <c r="I36" s="620">
        <v>81</v>
      </c>
    </row>
    <row r="37" spans="1:9" ht="45" customHeight="1" x14ac:dyDescent="0.25">
      <c r="A37" s="889" t="s">
        <v>5282</v>
      </c>
      <c r="B37" s="890"/>
      <c r="C37" s="890"/>
      <c r="D37" s="890"/>
      <c r="E37" s="890"/>
      <c r="F37" s="890"/>
      <c r="G37" s="890"/>
      <c r="H37" s="890"/>
      <c r="I37" s="620">
        <v>326</v>
      </c>
    </row>
    <row r="38" spans="1:9" ht="30" customHeight="1" thickBot="1" x14ac:dyDescent="0.3">
      <c r="A38" s="636"/>
      <c r="B38" s="637"/>
      <c r="C38" s="637"/>
      <c r="D38" s="637"/>
      <c r="E38" s="637"/>
      <c r="F38" s="637"/>
      <c r="G38" s="637"/>
      <c r="H38" s="637"/>
      <c r="I38" s="638"/>
    </row>
    <row r="39" spans="1:9" ht="30" customHeight="1" thickBot="1" x14ac:dyDescent="0.3">
      <c r="A39" s="922" t="s">
        <v>256</v>
      </c>
      <c r="B39" s="923"/>
      <c r="C39" s="923"/>
      <c r="D39" s="923"/>
      <c r="E39" s="923"/>
      <c r="F39" s="923"/>
      <c r="G39" s="923"/>
      <c r="H39" s="923"/>
      <c r="I39" s="924"/>
    </row>
    <row r="40" spans="1:9" ht="30" customHeight="1" x14ac:dyDescent="0.25">
      <c r="A40" s="920" t="s">
        <v>5278</v>
      </c>
      <c r="B40" s="921"/>
      <c r="C40" s="921"/>
      <c r="D40" s="921"/>
      <c r="E40" s="921"/>
      <c r="F40" s="921"/>
      <c r="G40" s="921"/>
      <c r="H40" s="921"/>
      <c r="I40" s="617">
        <v>442.43</v>
      </c>
    </row>
    <row r="41" spans="1:9" ht="30" customHeight="1" x14ac:dyDescent="0.25">
      <c r="A41" s="889" t="s">
        <v>5279</v>
      </c>
      <c r="B41" s="890"/>
      <c r="C41" s="890"/>
      <c r="D41" s="890"/>
      <c r="E41" s="890"/>
      <c r="F41" s="890"/>
      <c r="G41" s="890"/>
      <c r="H41" s="890"/>
      <c r="I41" s="620">
        <v>27.47</v>
      </c>
    </row>
    <row r="42" spans="1:9" ht="30" customHeight="1" x14ac:dyDescent="0.25">
      <c r="A42" s="889" t="s">
        <v>5237</v>
      </c>
      <c r="B42" s="890"/>
      <c r="C42" s="890"/>
      <c r="D42" s="890"/>
      <c r="E42" s="890"/>
      <c r="F42" s="890"/>
      <c r="G42" s="890"/>
      <c r="H42" s="890"/>
      <c r="I42" s="620">
        <f>I41</f>
        <v>27.47</v>
      </c>
    </row>
    <row r="43" spans="1:9" ht="30" customHeight="1" x14ac:dyDescent="0.25">
      <c r="A43" s="889" t="s">
        <v>5283</v>
      </c>
      <c r="B43" s="890"/>
      <c r="C43" s="890"/>
      <c r="D43" s="890"/>
      <c r="E43" s="890"/>
      <c r="F43" s="890"/>
      <c r="G43" s="890"/>
      <c r="H43" s="890"/>
      <c r="I43" s="620">
        <f>151+138+61</f>
        <v>350</v>
      </c>
    </row>
    <row r="44" spans="1:9" ht="15" customHeight="1" x14ac:dyDescent="0.25">
      <c r="A44" s="889" t="s">
        <v>5284</v>
      </c>
      <c r="B44" s="890"/>
      <c r="C44" s="890"/>
      <c r="D44" s="890"/>
      <c r="E44" s="890"/>
      <c r="F44" s="890"/>
      <c r="G44" s="890"/>
      <c r="H44" s="890"/>
      <c r="I44" s="620">
        <f>228+155+42</f>
        <v>425</v>
      </c>
    </row>
    <row r="45" spans="1:9" ht="45" customHeight="1" x14ac:dyDescent="0.25">
      <c r="A45" s="889" t="s">
        <v>5233</v>
      </c>
      <c r="B45" s="890"/>
      <c r="C45" s="890"/>
      <c r="D45" s="890"/>
      <c r="E45" s="890"/>
      <c r="F45" s="890"/>
      <c r="G45" s="890"/>
      <c r="H45" s="890"/>
      <c r="I45" s="620">
        <f>61+54</f>
        <v>115</v>
      </c>
    </row>
    <row r="46" spans="1:9" ht="45" customHeight="1" x14ac:dyDescent="0.25">
      <c r="A46" s="889" t="s">
        <v>5234</v>
      </c>
      <c r="B46" s="890"/>
      <c r="C46" s="890"/>
      <c r="D46" s="890"/>
      <c r="E46" s="890"/>
      <c r="F46" s="890"/>
      <c r="G46" s="890"/>
      <c r="H46" s="890"/>
      <c r="I46" s="620">
        <f>328+258+109</f>
        <v>695</v>
      </c>
    </row>
    <row r="47" spans="1:9" ht="30" customHeight="1" x14ac:dyDescent="0.25">
      <c r="A47" s="100"/>
      <c r="B47" s="100"/>
      <c r="C47" s="100"/>
      <c r="D47" s="100"/>
      <c r="E47" s="100"/>
      <c r="F47" s="100"/>
      <c r="G47" s="100"/>
      <c r="H47" s="100"/>
    </row>
    <row r="48" spans="1:9" ht="30" customHeight="1" x14ac:dyDescent="0.25">
      <c r="A48" s="100"/>
      <c r="B48" s="100"/>
      <c r="C48" s="100"/>
      <c r="D48" s="100"/>
      <c r="E48" s="100"/>
      <c r="F48" s="100"/>
      <c r="G48" s="100"/>
      <c r="H48" s="100"/>
    </row>
    <row r="49" spans="1:9" ht="30" customHeight="1" x14ac:dyDescent="0.25">
      <c r="A49" s="100"/>
      <c r="B49" s="100"/>
      <c r="C49" s="100"/>
      <c r="D49" s="100"/>
      <c r="E49" s="100"/>
      <c r="F49" s="100"/>
      <c r="G49" s="100"/>
      <c r="H49" s="100"/>
    </row>
    <row r="50" spans="1:9" ht="30" customHeight="1" x14ac:dyDescent="0.25">
      <c r="A50" s="100"/>
      <c r="B50" s="100"/>
      <c r="C50" s="100"/>
      <c r="D50" s="100"/>
      <c r="E50" s="100"/>
      <c r="F50" s="100"/>
      <c r="G50" s="100"/>
      <c r="H50" s="100"/>
    </row>
    <row r="51" spans="1:9" ht="30" customHeight="1" x14ac:dyDescent="0.25">
      <c r="A51" s="100"/>
      <c r="B51" s="100"/>
      <c r="C51" s="100"/>
      <c r="D51" s="100"/>
      <c r="E51" s="100"/>
      <c r="F51" s="100"/>
      <c r="G51" s="100"/>
      <c r="H51" s="100"/>
    </row>
    <row r="52" spans="1:9" ht="30" customHeight="1" x14ac:dyDescent="0.25">
      <c r="A52" s="100"/>
      <c r="B52" s="100"/>
      <c r="C52" s="100"/>
      <c r="D52" s="100"/>
      <c r="E52" s="100"/>
      <c r="F52" s="100"/>
      <c r="G52" s="100"/>
      <c r="H52" s="100"/>
    </row>
    <row r="53" spans="1:9" ht="30" customHeight="1" thickBot="1" x14ac:dyDescent="0.3">
      <c r="A53" s="100"/>
      <c r="B53" s="100"/>
      <c r="C53" s="100"/>
      <c r="D53" s="100"/>
      <c r="E53" s="100"/>
      <c r="F53" s="100"/>
      <c r="G53" s="100"/>
      <c r="H53" s="100"/>
    </row>
    <row r="54" spans="1:9" ht="30" customHeight="1" thickBot="1" x14ac:dyDescent="0.3">
      <c r="A54" s="894" t="s">
        <v>257</v>
      </c>
      <c r="B54" s="895"/>
      <c r="C54" s="895"/>
      <c r="D54" s="895"/>
      <c r="E54" s="895"/>
      <c r="F54" s="895"/>
      <c r="G54" s="895"/>
      <c r="H54" s="895"/>
      <c r="I54" s="896"/>
    </row>
    <row r="55" spans="1:9" ht="30" customHeight="1" thickBot="1" x14ac:dyDescent="0.3">
      <c r="A55" s="897" t="s">
        <v>258</v>
      </c>
      <c r="B55" s="898"/>
      <c r="C55" s="898"/>
      <c r="D55" s="898"/>
      <c r="E55" s="898"/>
      <c r="F55" s="898"/>
      <c r="G55" s="898"/>
      <c r="H55" s="898"/>
      <c r="I55" s="899"/>
    </row>
    <row r="56" spans="1:9" ht="30" customHeight="1" x14ac:dyDescent="0.25">
      <c r="A56" s="920" t="s">
        <v>5287</v>
      </c>
      <c r="B56" s="921"/>
      <c r="C56" s="921"/>
      <c r="D56" s="921"/>
      <c r="E56" s="921"/>
      <c r="F56" s="921"/>
      <c r="G56" s="921"/>
      <c r="H56" s="921"/>
      <c r="I56" s="617">
        <f>34+178.48+43.45</f>
        <v>255.93</v>
      </c>
    </row>
    <row r="57" spans="1:9" ht="30" customHeight="1" x14ac:dyDescent="0.25">
      <c r="A57" s="889" t="s">
        <v>5279</v>
      </c>
      <c r="B57" s="890"/>
      <c r="C57" s="890"/>
      <c r="D57" s="890"/>
      <c r="E57" s="890"/>
      <c r="F57" s="890"/>
      <c r="G57" s="890"/>
      <c r="H57" s="890"/>
      <c r="I57" s="620">
        <f>2.21+11.58+2.82</f>
        <v>16.61</v>
      </c>
    </row>
    <row r="58" spans="1:9" ht="30" customHeight="1" x14ac:dyDescent="0.25">
      <c r="A58" s="889" t="s">
        <v>5237</v>
      </c>
      <c r="B58" s="890"/>
      <c r="C58" s="890"/>
      <c r="D58" s="890"/>
      <c r="E58" s="890"/>
      <c r="F58" s="890"/>
      <c r="G58" s="890"/>
      <c r="H58" s="890"/>
      <c r="I58" s="620">
        <f>I57</f>
        <v>16.61</v>
      </c>
    </row>
    <row r="59" spans="1:9" ht="30" customHeight="1" x14ac:dyDescent="0.25">
      <c r="A59" s="889" t="s">
        <v>5283</v>
      </c>
      <c r="B59" s="890"/>
      <c r="C59" s="890"/>
      <c r="D59" s="890"/>
      <c r="E59" s="890"/>
      <c r="F59" s="890"/>
      <c r="G59" s="890"/>
      <c r="H59" s="890"/>
      <c r="I59" s="620">
        <v>430</v>
      </c>
    </row>
    <row r="60" spans="1:9" ht="30" customHeight="1" x14ac:dyDescent="0.25">
      <c r="A60" s="889" t="s">
        <v>5233</v>
      </c>
      <c r="B60" s="890"/>
      <c r="C60" s="890"/>
      <c r="D60" s="890"/>
      <c r="E60" s="890"/>
      <c r="F60" s="890"/>
      <c r="G60" s="890"/>
      <c r="H60" s="890"/>
      <c r="I60" s="620">
        <v>50</v>
      </c>
    </row>
    <row r="61" spans="1:9" ht="30" customHeight="1" x14ac:dyDescent="0.25">
      <c r="A61" s="889" t="s">
        <v>5234</v>
      </c>
      <c r="B61" s="890"/>
      <c r="C61" s="890"/>
      <c r="D61" s="890"/>
      <c r="E61" s="890"/>
      <c r="F61" s="890"/>
      <c r="G61" s="890"/>
      <c r="H61" s="890"/>
      <c r="I61" s="620">
        <v>858</v>
      </c>
    </row>
    <row r="62" spans="1:9" ht="45" customHeight="1" x14ac:dyDescent="0.25">
      <c r="A62" s="889" t="s">
        <v>5235</v>
      </c>
      <c r="B62" s="890"/>
      <c r="C62" s="890"/>
      <c r="D62" s="890"/>
      <c r="E62" s="890"/>
      <c r="F62" s="890"/>
      <c r="G62" s="890"/>
      <c r="H62" s="890"/>
      <c r="I62" s="620">
        <v>167</v>
      </c>
    </row>
    <row r="63" spans="1:9" ht="30" customHeight="1" thickBot="1" x14ac:dyDescent="0.3">
      <c r="A63" s="917" t="s">
        <v>259</v>
      </c>
      <c r="B63" s="918"/>
      <c r="C63" s="918"/>
      <c r="D63" s="918"/>
      <c r="E63" s="918"/>
      <c r="F63" s="918"/>
      <c r="G63" s="918"/>
      <c r="H63" s="918"/>
      <c r="I63" s="919"/>
    </row>
    <row r="64" spans="1:9" ht="30" customHeight="1" x14ac:dyDescent="0.25">
      <c r="A64" s="920" t="s">
        <v>5287</v>
      </c>
      <c r="B64" s="921"/>
      <c r="C64" s="921"/>
      <c r="D64" s="921"/>
      <c r="E64" s="921"/>
      <c r="F64" s="921"/>
      <c r="G64" s="921"/>
      <c r="H64" s="921"/>
      <c r="I64" s="617">
        <f>458.14+98.84</f>
        <v>556.98</v>
      </c>
    </row>
    <row r="65" spans="1:9" ht="44.25" customHeight="1" x14ac:dyDescent="0.25">
      <c r="A65" s="889" t="s">
        <v>5279</v>
      </c>
      <c r="B65" s="890"/>
      <c r="C65" s="890"/>
      <c r="D65" s="890"/>
      <c r="E65" s="890"/>
      <c r="F65" s="890"/>
      <c r="G65" s="890"/>
      <c r="H65" s="890"/>
      <c r="I65" s="620">
        <f>36.44+6.8</f>
        <v>43.239999999999995</v>
      </c>
    </row>
    <row r="66" spans="1:9" ht="30" customHeight="1" x14ac:dyDescent="0.25">
      <c r="A66" s="889" t="s">
        <v>5237</v>
      </c>
      <c r="B66" s="890"/>
      <c r="C66" s="890"/>
      <c r="D66" s="890"/>
      <c r="E66" s="890"/>
      <c r="F66" s="890"/>
      <c r="G66" s="890"/>
      <c r="H66" s="890"/>
      <c r="I66" s="620">
        <f>I65</f>
        <v>43.239999999999995</v>
      </c>
    </row>
    <row r="67" spans="1:9" ht="30" customHeight="1" x14ac:dyDescent="0.25">
      <c r="A67" s="889" t="s">
        <v>5283</v>
      </c>
      <c r="B67" s="890"/>
      <c r="C67" s="890"/>
      <c r="D67" s="890"/>
      <c r="E67" s="890"/>
      <c r="F67" s="890"/>
      <c r="G67" s="890"/>
      <c r="H67" s="890"/>
      <c r="I67" s="620">
        <f>206+226+84</f>
        <v>516</v>
      </c>
    </row>
    <row r="68" spans="1:9" ht="30" customHeight="1" x14ac:dyDescent="0.25">
      <c r="A68" s="889" t="s">
        <v>5284</v>
      </c>
      <c r="B68" s="890"/>
      <c r="C68" s="890"/>
      <c r="D68" s="890"/>
      <c r="E68" s="890"/>
      <c r="F68" s="890"/>
      <c r="G68" s="890"/>
      <c r="H68" s="890"/>
      <c r="I68" s="620">
        <f>192+145+127</f>
        <v>464</v>
      </c>
    </row>
    <row r="69" spans="1:9" ht="15" customHeight="1" x14ac:dyDescent="0.25">
      <c r="A69" s="889" t="s">
        <v>5233</v>
      </c>
      <c r="B69" s="890"/>
      <c r="C69" s="890"/>
      <c r="D69" s="890"/>
      <c r="E69" s="890"/>
      <c r="F69" s="890"/>
      <c r="G69" s="890"/>
      <c r="H69" s="890"/>
      <c r="I69" s="620">
        <f>126+108</f>
        <v>234</v>
      </c>
    </row>
    <row r="70" spans="1:9" ht="15" customHeight="1" x14ac:dyDescent="0.25">
      <c r="A70" s="889" t="s">
        <v>5234</v>
      </c>
      <c r="B70" s="890"/>
      <c r="C70" s="890"/>
      <c r="D70" s="890"/>
      <c r="E70" s="890"/>
      <c r="F70" s="890"/>
      <c r="G70" s="890"/>
      <c r="H70" s="890"/>
      <c r="I70" s="620">
        <f>405+565+190</f>
        <v>1160</v>
      </c>
    </row>
    <row r="71" spans="1:9" ht="15" customHeight="1" x14ac:dyDescent="0.25">
      <c r="A71" s="889" t="s">
        <v>5235</v>
      </c>
      <c r="B71" s="890"/>
      <c r="C71" s="890"/>
      <c r="D71" s="890"/>
      <c r="E71" s="890"/>
      <c r="F71" s="890"/>
      <c r="G71" s="890"/>
      <c r="H71" s="890"/>
      <c r="I71" s="620">
        <f>88+64+15</f>
        <v>167</v>
      </c>
    </row>
    <row r="72" spans="1:9" ht="15.75" customHeight="1" x14ac:dyDescent="0.25">
      <c r="A72" s="912" t="s">
        <v>5288</v>
      </c>
      <c r="B72" s="913"/>
      <c r="C72" s="913"/>
      <c r="D72" s="913"/>
      <c r="E72" s="913"/>
      <c r="F72" s="913"/>
      <c r="G72" s="913"/>
      <c r="H72" s="913"/>
      <c r="I72" s="630">
        <f>13</f>
        <v>13</v>
      </c>
    </row>
    <row r="73" spans="1:9" ht="17.25" x14ac:dyDescent="0.25">
      <c r="A73" s="914" t="s">
        <v>263</v>
      </c>
      <c r="B73" s="915"/>
      <c r="C73" s="915"/>
      <c r="D73" s="915"/>
      <c r="E73" s="915"/>
      <c r="F73" s="915"/>
      <c r="G73" s="915"/>
      <c r="H73" s="915"/>
      <c r="I73" s="916"/>
    </row>
    <row r="74" spans="1:9" ht="15" customHeight="1" x14ac:dyDescent="0.25">
      <c r="A74" s="887" t="s">
        <v>5290</v>
      </c>
      <c r="B74" s="888"/>
      <c r="C74" s="888"/>
      <c r="D74" s="888"/>
      <c r="E74" s="888"/>
      <c r="F74" s="888"/>
      <c r="G74" s="888"/>
      <c r="H74" s="888"/>
      <c r="I74" s="620">
        <v>963.47</v>
      </c>
    </row>
    <row r="75" spans="1:9" ht="15.75" customHeight="1" thickBot="1" x14ac:dyDescent="0.3">
      <c r="A75" s="887" t="s">
        <v>5275</v>
      </c>
      <c r="B75" s="888"/>
      <c r="C75" s="888"/>
      <c r="D75" s="888"/>
      <c r="E75" s="888"/>
      <c r="F75" s="888"/>
      <c r="G75" s="888"/>
      <c r="H75" s="888"/>
      <c r="I75" s="620">
        <f>I74*1.2</f>
        <v>1156.164</v>
      </c>
    </row>
    <row r="76" spans="1:9" ht="18" customHeight="1" thickBot="1" x14ac:dyDescent="0.3">
      <c r="A76" s="909" t="s">
        <v>5292</v>
      </c>
      <c r="B76" s="910"/>
      <c r="C76" s="910"/>
      <c r="D76" s="910"/>
      <c r="E76" s="910"/>
      <c r="F76" s="910"/>
      <c r="G76" s="910"/>
      <c r="H76" s="910"/>
      <c r="I76" s="911"/>
    </row>
    <row r="77" spans="1:9" ht="18" customHeight="1" thickBot="1" x14ac:dyDescent="0.3">
      <c r="A77" s="904" t="s">
        <v>5293</v>
      </c>
      <c r="B77" s="905"/>
      <c r="C77" s="905"/>
      <c r="D77" s="905"/>
      <c r="E77" s="905"/>
      <c r="F77" s="905"/>
      <c r="G77" s="905"/>
      <c r="H77" s="905"/>
      <c r="I77" s="906"/>
    </row>
    <row r="78" spans="1:9" ht="15" customHeight="1" x14ac:dyDescent="0.25">
      <c r="A78" s="907" t="s">
        <v>260</v>
      </c>
      <c r="B78" s="908"/>
      <c r="C78" s="908"/>
      <c r="D78" s="908"/>
      <c r="E78" s="908"/>
      <c r="F78" s="908"/>
      <c r="G78" s="908"/>
      <c r="H78" s="908"/>
      <c r="I78" s="641">
        <f>13509.37</f>
        <v>13509.37</v>
      </c>
    </row>
    <row r="79" spans="1:9" ht="15" customHeight="1" x14ac:dyDescent="0.25">
      <c r="A79" s="889" t="s">
        <v>261</v>
      </c>
      <c r="B79" s="890"/>
      <c r="C79" s="890"/>
      <c r="D79" s="890"/>
      <c r="E79" s="890"/>
      <c r="F79" s="890"/>
      <c r="G79" s="890"/>
      <c r="H79" s="890"/>
      <c r="I79" s="620">
        <v>841.44</v>
      </c>
    </row>
    <row r="80" spans="1:9" ht="15.75" customHeight="1" thickBot="1" x14ac:dyDescent="0.3">
      <c r="A80" s="902" t="s">
        <v>262</v>
      </c>
      <c r="B80" s="903"/>
      <c r="C80" s="903"/>
      <c r="D80" s="903"/>
      <c r="E80" s="903"/>
      <c r="F80" s="903"/>
      <c r="G80" s="903"/>
      <c r="H80" s="903"/>
      <c r="I80" s="622">
        <v>156.46</v>
      </c>
    </row>
  </sheetData>
  <mergeCells count="70">
    <mergeCell ref="A1:I1"/>
    <mergeCell ref="A3:I3"/>
    <mergeCell ref="A4:H4"/>
    <mergeCell ref="A9:I9"/>
    <mergeCell ref="A10:H10"/>
    <mergeCell ref="A11:H11"/>
    <mergeCell ref="A5:H5"/>
    <mergeCell ref="A6:H6"/>
    <mergeCell ref="A8:I8"/>
    <mergeCell ref="A15:H15"/>
    <mergeCell ref="A16:H16"/>
    <mergeCell ref="A17:H17"/>
    <mergeCell ref="A12:H12"/>
    <mergeCell ref="A13:H13"/>
    <mergeCell ref="A14:H14"/>
    <mergeCell ref="A21:H21"/>
    <mergeCell ref="A22:H22"/>
    <mergeCell ref="A23:H23"/>
    <mergeCell ref="A18:H18"/>
    <mergeCell ref="A19:H19"/>
    <mergeCell ref="A20:H20"/>
    <mergeCell ref="A27:H27"/>
    <mergeCell ref="A28:H28"/>
    <mergeCell ref="A29:H29"/>
    <mergeCell ref="A24:H24"/>
    <mergeCell ref="A25:I25"/>
    <mergeCell ref="A26:H26"/>
    <mergeCell ref="A33:H33"/>
    <mergeCell ref="A34:H34"/>
    <mergeCell ref="A35:H35"/>
    <mergeCell ref="A30:H30"/>
    <mergeCell ref="A31:I31"/>
    <mergeCell ref="A32:H32"/>
    <mergeCell ref="A40:H40"/>
    <mergeCell ref="A41:H41"/>
    <mergeCell ref="A42:H42"/>
    <mergeCell ref="A36:H36"/>
    <mergeCell ref="A37:H37"/>
    <mergeCell ref="A39:I39"/>
    <mergeCell ref="A54:I54"/>
    <mergeCell ref="A55:I55"/>
    <mergeCell ref="A46:H46"/>
    <mergeCell ref="A43:H43"/>
    <mergeCell ref="A44:H44"/>
    <mergeCell ref="A45:H45"/>
    <mergeCell ref="A59:H59"/>
    <mergeCell ref="A60:H60"/>
    <mergeCell ref="A61:H61"/>
    <mergeCell ref="A56:H56"/>
    <mergeCell ref="A57:H57"/>
    <mergeCell ref="A58:H58"/>
    <mergeCell ref="A65:H65"/>
    <mergeCell ref="A66:H66"/>
    <mergeCell ref="A67:H67"/>
    <mergeCell ref="A62:H62"/>
    <mergeCell ref="A63:I63"/>
    <mergeCell ref="A64:H64"/>
    <mergeCell ref="A71:H71"/>
    <mergeCell ref="A72:H72"/>
    <mergeCell ref="A73:I73"/>
    <mergeCell ref="A68:H68"/>
    <mergeCell ref="A69:H69"/>
    <mergeCell ref="A70:H70"/>
    <mergeCell ref="A80:H80"/>
    <mergeCell ref="A77:I77"/>
    <mergeCell ref="A78:H78"/>
    <mergeCell ref="A79:H79"/>
    <mergeCell ref="A74:H74"/>
    <mergeCell ref="A75:H75"/>
    <mergeCell ref="A76:I76"/>
  </mergeCells>
  <pageMargins left="0.511811024" right="0.511811024" top="0.78740157499999996" bottom="0.78740157499999996" header="0.31496062000000002" footer="0.31496062000000002"/>
  <pageSetup paperSize="9" scale="8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tabColor rgb="FFFF0000"/>
  </sheetPr>
  <dimension ref="A1:L88"/>
  <sheetViews>
    <sheetView view="pageBreakPreview" zoomScale="60" zoomScaleNormal="120" workbookViewId="0">
      <selection sqref="A1:J65536"/>
    </sheetView>
  </sheetViews>
  <sheetFormatPr defaultColWidth="8.85546875" defaultRowHeight="15" x14ac:dyDescent="0.25"/>
  <cols>
    <col min="1" max="8" width="8.85546875" style="255"/>
    <col min="9" max="9" width="9.5703125" style="255" bestFit="1" customWidth="1"/>
    <col min="10" max="264" width="8.85546875" style="255"/>
    <col min="265" max="265" width="9.5703125" style="255" bestFit="1" customWidth="1"/>
    <col min="266" max="520" width="8.85546875" style="255"/>
    <col min="521" max="521" width="9.5703125" style="255" bestFit="1" customWidth="1"/>
    <col min="522" max="776" width="8.85546875" style="255"/>
    <col min="777" max="777" width="9.5703125" style="255" bestFit="1" customWidth="1"/>
    <col min="778" max="1032" width="8.85546875" style="255"/>
    <col min="1033" max="1033" width="9.5703125" style="255" bestFit="1" customWidth="1"/>
    <col min="1034" max="1288" width="8.85546875" style="255"/>
    <col min="1289" max="1289" width="9.5703125" style="255" bestFit="1" customWidth="1"/>
    <col min="1290" max="1544" width="8.85546875" style="255"/>
    <col min="1545" max="1545" width="9.5703125" style="255" bestFit="1" customWidth="1"/>
    <col min="1546" max="1800" width="8.85546875" style="255"/>
    <col min="1801" max="1801" width="9.5703125" style="255" bestFit="1" customWidth="1"/>
    <col min="1802" max="2056" width="8.85546875" style="255"/>
    <col min="2057" max="2057" width="9.5703125" style="255" bestFit="1" customWidth="1"/>
    <col min="2058" max="2312" width="8.85546875" style="255"/>
    <col min="2313" max="2313" width="9.5703125" style="255" bestFit="1" customWidth="1"/>
    <col min="2314" max="2568" width="8.85546875" style="255"/>
    <col min="2569" max="2569" width="9.5703125" style="255" bestFit="1" customWidth="1"/>
    <col min="2570" max="2824" width="8.85546875" style="255"/>
    <col min="2825" max="2825" width="9.5703125" style="255" bestFit="1" customWidth="1"/>
    <col min="2826" max="3080" width="8.85546875" style="255"/>
    <col min="3081" max="3081" width="9.5703125" style="255" bestFit="1" customWidth="1"/>
    <col min="3082" max="3336" width="8.85546875" style="255"/>
    <col min="3337" max="3337" width="9.5703125" style="255" bestFit="1" customWidth="1"/>
    <col min="3338" max="3592" width="8.85546875" style="255"/>
    <col min="3593" max="3593" width="9.5703125" style="255" bestFit="1" customWidth="1"/>
    <col min="3594" max="3848" width="8.85546875" style="255"/>
    <col min="3849" max="3849" width="9.5703125" style="255" bestFit="1" customWidth="1"/>
    <col min="3850" max="4104" width="8.85546875" style="255"/>
    <col min="4105" max="4105" width="9.5703125" style="255" bestFit="1" customWidth="1"/>
    <col min="4106" max="4360" width="8.85546875" style="255"/>
    <col min="4361" max="4361" width="9.5703125" style="255" bestFit="1" customWidth="1"/>
    <col min="4362" max="4616" width="8.85546875" style="255"/>
    <col min="4617" max="4617" width="9.5703125" style="255" bestFit="1" customWidth="1"/>
    <col min="4618" max="4872" width="8.85546875" style="255"/>
    <col min="4873" max="4873" width="9.5703125" style="255" bestFit="1" customWidth="1"/>
    <col min="4874" max="5128" width="8.85546875" style="255"/>
    <col min="5129" max="5129" width="9.5703125" style="255" bestFit="1" customWidth="1"/>
    <col min="5130" max="5384" width="8.85546875" style="255"/>
    <col min="5385" max="5385" width="9.5703125" style="255" bestFit="1" customWidth="1"/>
    <col min="5386" max="5640" width="8.85546875" style="255"/>
    <col min="5641" max="5641" width="9.5703125" style="255" bestFit="1" customWidth="1"/>
    <col min="5642" max="5896" width="8.85546875" style="255"/>
    <col min="5897" max="5897" width="9.5703125" style="255" bestFit="1" customWidth="1"/>
    <col min="5898" max="6152" width="8.85546875" style="255"/>
    <col min="6153" max="6153" width="9.5703125" style="255" bestFit="1" customWidth="1"/>
    <col min="6154" max="6408" width="8.85546875" style="255"/>
    <col min="6409" max="6409" width="9.5703125" style="255" bestFit="1" customWidth="1"/>
    <col min="6410" max="6664" width="8.85546875" style="255"/>
    <col min="6665" max="6665" width="9.5703125" style="255" bestFit="1" customWidth="1"/>
    <col min="6666" max="6920" width="8.85546875" style="255"/>
    <col min="6921" max="6921" width="9.5703125" style="255" bestFit="1" customWidth="1"/>
    <col min="6922" max="7176" width="8.85546875" style="255"/>
    <col min="7177" max="7177" width="9.5703125" style="255" bestFit="1" customWidth="1"/>
    <col min="7178" max="7432" width="8.85546875" style="255"/>
    <col min="7433" max="7433" width="9.5703125" style="255" bestFit="1" customWidth="1"/>
    <col min="7434" max="7688" width="8.85546875" style="255"/>
    <col min="7689" max="7689" width="9.5703125" style="255" bestFit="1" customWidth="1"/>
    <col min="7690" max="7944" width="8.85546875" style="255"/>
    <col min="7945" max="7945" width="9.5703125" style="255" bestFit="1" customWidth="1"/>
    <col min="7946" max="8200" width="8.85546875" style="255"/>
    <col min="8201" max="8201" width="9.5703125" style="255" bestFit="1" customWidth="1"/>
    <col min="8202" max="8456" width="8.85546875" style="255"/>
    <col min="8457" max="8457" width="9.5703125" style="255" bestFit="1" customWidth="1"/>
    <col min="8458" max="8712" width="8.85546875" style="255"/>
    <col min="8713" max="8713" width="9.5703125" style="255" bestFit="1" customWidth="1"/>
    <col min="8714" max="8968" width="8.85546875" style="255"/>
    <col min="8969" max="8969" width="9.5703125" style="255" bestFit="1" customWidth="1"/>
    <col min="8970" max="9224" width="8.85546875" style="255"/>
    <col min="9225" max="9225" width="9.5703125" style="255" bestFit="1" customWidth="1"/>
    <col min="9226" max="9480" width="8.85546875" style="255"/>
    <col min="9481" max="9481" width="9.5703125" style="255" bestFit="1" customWidth="1"/>
    <col min="9482" max="9736" width="8.85546875" style="255"/>
    <col min="9737" max="9737" width="9.5703125" style="255" bestFit="1" customWidth="1"/>
    <col min="9738" max="9992" width="8.85546875" style="255"/>
    <col min="9993" max="9993" width="9.5703125" style="255" bestFit="1" customWidth="1"/>
    <col min="9994" max="10248" width="8.85546875" style="255"/>
    <col min="10249" max="10249" width="9.5703125" style="255" bestFit="1" customWidth="1"/>
    <col min="10250" max="10504" width="8.85546875" style="255"/>
    <col min="10505" max="10505" width="9.5703125" style="255" bestFit="1" customWidth="1"/>
    <col min="10506" max="10760" width="8.85546875" style="255"/>
    <col min="10761" max="10761" width="9.5703125" style="255" bestFit="1" customWidth="1"/>
    <col min="10762" max="11016" width="8.85546875" style="255"/>
    <col min="11017" max="11017" width="9.5703125" style="255" bestFit="1" customWidth="1"/>
    <col min="11018" max="11272" width="8.85546875" style="255"/>
    <col min="11273" max="11273" width="9.5703125" style="255" bestFit="1" customWidth="1"/>
    <col min="11274" max="11528" width="8.85546875" style="255"/>
    <col min="11529" max="11529" width="9.5703125" style="255" bestFit="1" customWidth="1"/>
    <col min="11530" max="11784" width="8.85546875" style="255"/>
    <col min="11785" max="11785" width="9.5703125" style="255" bestFit="1" customWidth="1"/>
    <col min="11786" max="12040" width="8.85546875" style="255"/>
    <col min="12041" max="12041" width="9.5703125" style="255" bestFit="1" customWidth="1"/>
    <col min="12042" max="12296" width="8.85546875" style="255"/>
    <col min="12297" max="12297" width="9.5703125" style="255" bestFit="1" customWidth="1"/>
    <col min="12298" max="12552" width="8.85546875" style="255"/>
    <col min="12553" max="12553" width="9.5703125" style="255" bestFit="1" customWidth="1"/>
    <col min="12554" max="12808" width="8.85546875" style="255"/>
    <col min="12809" max="12809" width="9.5703125" style="255" bestFit="1" customWidth="1"/>
    <col min="12810" max="13064" width="8.85546875" style="255"/>
    <col min="13065" max="13065" width="9.5703125" style="255" bestFit="1" customWidth="1"/>
    <col min="13066" max="13320" width="8.85546875" style="255"/>
    <col min="13321" max="13321" width="9.5703125" style="255" bestFit="1" customWidth="1"/>
    <col min="13322" max="13576" width="8.85546875" style="255"/>
    <col min="13577" max="13577" width="9.5703125" style="255" bestFit="1" customWidth="1"/>
    <col min="13578" max="13832" width="8.85546875" style="255"/>
    <col min="13833" max="13833" width="9.5703125" style="255" bestFit="1" customWidth="1"/>
    <col min="13834" max="14088" width="8.85546875" style="255"/>
    <col min="14089" max="14089" width="9.5703125" style="255" bestFit="1" customWidth="1"/>
    <col min="14090" max="14344" width="8.85546875" style="255"/>
    <col min="14345" max="14345" width="9.5703125" style="255" bestFit="1" customWidth="1"/>
    <col min="14346" max="14600" width="8.85546875" style="255"/>
    <col min="14601" max="14601" width="9.5703125" style="255" bestFit="1" customWidth="1"/>
    <col min="14602" max="14856" width="8.85546875" style="255"/>
    <col min="14857" max="14857" width="9.5703125" style="255" bestFit="1" customWidth="1"/>
    <col min="14858" max="15112" width="8.85546875" style="255"/>
    <col min="15113" max="15113" width="9.5703125" style="255" bestFit="1" customWidth="1"/>
    <col min="15114" max="15368" width="8.85546875" style="255"/>
    <col min="15369" max="15369" width="9.5703125" style="255" bestFit="1" customWidth="1"/>
    <col min="15370" max="15624" width="8.85546875" style="255"/>
    <col min="15625" max="15625" width="9.5703125" style="255" bestFit="1" customWidth="1"/>
    <col min="15626" max="15880" width="8.85546875" style="255"/>
    <col min="15881" max="15881" width="9.5703125" style="255" bestFit="1" customWidth="1"/>
    <col min="15882" max="16136" width="8.85546875" style="255"/>
    <col min="16137" max="16137" width="9.5703125" style="255" bestFit="1" customWidth="1"/>
    <col min="16138" max="16384" width="8.85546875" style="255"/>
  </cols>
  <sheetData>
    <row r="1" spans="1:12" ht="63" customHeight="1" thickBot="1" x14ac:dyDescent="0.3">
      <c r="A1" s="966" t="s">
        <v>5241</v>
      </c>
      <c r="B1" s="967"/>
      <c r="C1" s="967"/>
      <c r="D1" s="967"/>
      <c r="E1" s="967"/>
      <c r="F1" s="967"/>
      <c r="G1" s="967"/>
      <c r="H1" s="967"/>
      <c r="I1" s="967"/>
      <c r="J1" s="968"/>
      <c r="K1" s="615"/>
    </row>
    <row r="2" spans="1:12" ht="15.75" thickBot="1" x14ac:dyDescent="0.3">
      <c r="A2" s="615"/>
      <c r="B2" s="615"/>
      <c r="C2" s="615"/>
      <c r="D2" s="615"/>
      <c r="E2" s="615"/>
      <c r="F2" s="615"/>
      <c r="G2" s="615"/>
      <c r="H2" s="615"/>
      <c r="I2" s="615"/>
      <c r="J2" s="615"/>
      <c r="K2" s="615"/>
    </row>
    <row r="3" spans="1:12" ht="46.9" customHeight="1" thickBot="1" x14ac:dyDescent="0.3">
      <c r="A3" s="909" t="s">
        <v>253</v>
      </c>
      <c r="B3" s="910"/>
      <c r="C3" s="910"/>
      <c r="D3" s="910"/>
      <c r="E3" s="910"/>
      <c r="F3" s="910"/>
      <c r="G3" s="910"/>
      <c r="H3" s="910"/>
      <c r="I3" s="969"/>
      <c r="J3" s="616" t="s">
        <v>5</v>
      </c>
      <c r="K3" s="615"/>
    </row>
    <row r="4" spans="1:12" ht="39" customHeight="1" x14ac:dyDescent="0.25">
      <c r="A4" s="941" t="s">
        <v>5243</v>
      </c>
      <c r="B4" s="942"/>
      <c r="C4" s="942"/>
      <c r="D4" s="942"/>
      <c r="E4" s="942"/>
      <c r="F4" s="942"/>
      <c r="G4" s="942"/>
      <c r="H4" s="942"/>
      <c r="I4" s="618">
        <f>I5*0.4</f>
        <v>372.96800000000002</v>
      </c>
      <c r="J4" s="619" t="s">
        <v>104</v>
      </c>
      <c r="K4" s="970" t="s">
        <v>5294</v>
      </c>
      <c r="L4" s="971"/>
    </row>
    <row r="5" spans="1:12" ht="46.15" customHeight="1" x14ac:dyDescent="0.25">
      <c r="A5" s="948" t="s">
        <v>5245</v>
      </c>
      <c r="B5" s="949"/>
      <c r="C5" s="949"/>
      <c r="D5" s="949"/>
      <c r="E5" s="949"/>
      <c r="F5" s="949"/>
      <c r="G5" s="949"/>
      <c r="H5" s="949"/>
      <c r="I5" s="621">
        <f>I19</f>
        <v>932.42</v>
      </c>
      <c r="J5" s="619" t="s">
        <v>103</v>
      </c>
      <c r="K5" s="970"/>
      <c r="L5" s="971"/>
    </row>
    <row r="6" spans="1:12" ht="24.6" customHeight="1" thickBot="1" x14ac:dyDescent="0.3">
      <c r="A6" s="950" t="s">
        <v>270</v>
      </c>
      <c r="B6" s="951"/>
      <c r="C6" s="951"/>
      <c r="D6" s="951"/>
      <c r="E6" s="951"/>
      <c r="F6" s="951"/>
      <c r="G6" s="951"/>
      <c r="H6" s="951"/>
      <c r="I6" s="623">
        <f>I5*0.4</f>
        <v>372.96800000000002</v>
      </c>
      <c r="J6" s="624" t="s">
        <v>104</v>
      </c>
      <c r="K6" s="970"/>
      <c r="L6" s="971"/>
    </row>
    <row r="7" spans="1:12" ht="15.75" thickBot="1" x14ac:dyDescent="0.3">
      <c r="A7" s="615"/>
      <c r="B7" s="615"/>
      <c r="C7" s="615"/>
      <c r="D7" s="615"/>
      <c r="E7" s="615"/>
      <c r="F7" s="615"/>
      <c r="G7" s="615"/>
      <c r="H7" s="615"/>
      <c r="I7" s="615"/>
      <c r="J7" s="615"/>
      <c r="K7" s="615"/>
    </row>
    <row r="8" spans="1:12" ht="18.600000000000001" customHeight="1" thickBot="1" x14ac:dyDescent="0.3">
      <c r="A8" s="963" t="s">
        <v>254</v>
      </c>
      <c r="B8" s="964"/>
      <c r="C8" s="964"/>
      <c r="D8" s="964"/>
      <c r="E8" s="964"/>
      <c r="F8" s="964"/>
      <c r="G8" s="964"/>
      <c r="H8" s="964"/>
      <c r="I8" s="965"/>
      <c r="J8" s="615"/>
      <c r="K8" s="615"/>
    </row>
    <row r="9" spans="1:12" ht="18" thickBot="1" x14ac:dyDescent="0.3">
      <c r="A9" s="952" t="s">
        <v>255</v>
      </c>
      <c r="B9" s="953"/>
      <c r="C9" s="953"/>
      <c r="D9" s="953"/>
      <c r="E9" s="953"/>
      <c r="F9" s="953"/>
      <c r="G9" s="953"/>
      <c r="H9" s="953"/>
      <c r="I9" s="954"/>
      <c r="J9" s="625" t="s">
        <v>5</v>
      </c>
      <c r="K9" s="615"/>
    </row>
    <row r="10" spans="1:12" ht="49.9" customHeight="1" x14ac:dyDescent="0.25">
      <c r="A10" s="941" t="s">
        <v>5254</v>
      </c>
      <c r="B10" s="942"/>
      <c r="C10" s="942"/>
      <c r="D10" s="942"/>
      <c r="E10" s="942"/>
      <c r="F10" s="942"/>
      <c r="G10" s="942"/>
      <c r="H10" s="942"/>
      <c r="I10" s="626">
        <f>26*(0.6+0.4)*(0.6+0.4)*(0.6+0.6+0.05)+31*(1.5+0.4)*(0.6+0.4)*(0.6+0.6+0.05)</f>
        <v>106.125</v>
      </c>
      <c r="J10" s="627" t="s">
        <v>104</v>
      </c>
      <c r="K10" s="643"/>
    </row>
    <row r="11" spans="1:12" ht="53.45" customHeight="1" x14ac:dyDescent="0.25">
      <c r="A11" s="948" t="s">
        <v>5256</v>
      </c>
      <c r="B11" s="949"/>
      <c r="C11" s="949"/>
      <c r="D11" s="949"/>
      <c r="E11" s="949"/>
      <c r="F11" s="949"/>
      <c r="G11" s="949"/>
      <c r="H11" s="949"/>
      <c r="I11" s="629">
        <f>I45/14*54</f>
        <v>98.357142857142861</v>
      </c>
      <c r="J11" s="619" t="s">
        <v>104</v>
      </c>
      <c r="K11" s="643"/>
    </row>
    <row r="12" spans="1:12" ht="54" customHeight="1" x14ac:dyDescent="0.25">
      <c r="A12" s="941" t="s">
        <v>5295</v>
      </c>
      <c r="B12" s="942"/>
      <c r="C12" s="942"/>
      <c r="D12" s="942"/>
      <c r="E12" s="942"/>
      <c r="F12" s="942"/>
      <c r="G12" s="942"/>
      <c r="H12" s="942"/>
      <c r="I12" s="626">
        <f>I10+I11-I34-I45-I53</f>
        <v>154.22614285714286</v>
      </c>
      <c r="J12" s="619" t="s">
        <v>104</v>
      </c>
      <c r="K12" s="644"/>
    </row>
    <row r="13" spans="1:12" ht="31.15" customHeight="1" x14ac:dyDescent="0.25">
      <c r="A13" s="941" t="s">
        <v>5296</v>
      </c>
      <c r="B13" s="942"/>
      <c r="C13" s="942"/>
      <c r="D13" s="942"/>
      <c r="E13" s="942"/>
      <c r="F13" s="942"/>
      <c r="G13" s="942"/>
      <c r="H13" s="942"/>
      <c r="I13" s="626">
        <f>(I34+I45+I53)*1.3</f>
        <v>65.332799999999992</v>
      </c>
      <c r="J13" s="619" t="s">
        <v>104</v>
      </c>
      <c r="K13" s="615"/>
    </row>
    <row r="14" spans="1:12" x14ac:dyDescent="0.25">
      <c r="A14" s="948" t="s">
        <v>277</v>
      </c>
      <c r="B14" s="949"/>
      <c r="C14" s="949"/>
      <c r="D14" s="949"/>
      <c r="E14" s="949"/>
      <c r="F14" s="949"/>
      <c r="G14" s="949"/>
      <c r="H14" s="949"/>
      <c r="I14" s="629">
        <f>I10/(0.05+0.6+0.6)</f>
        <v>84.9</v>
      </c>
      <c r="J14" s="619" t="s">
        <v>103</v>
      </c>
      <c r="K14" s="643"/>
    </row>
    <row r="15" spans="1:12" ht="31.9" customHeight="1" x14ac:dyDescent="0.25">
      <c r="A15" s="948" t="s">
        <v>278</v>
      </c>
      <c r="B15" s="949"/>
      <c r="C15" s="949"/>
      <c r="D15" s="949"/>
      <c r="E15" s="949"/>
      <c r="F15" s="949"/>
      <c r="G15" s="949"/>
      <c r="H15" s="949"/>
      <c r="I15" s="629">
        <f>I11/0.6</f>
        <v>163.92857142857144</v>
      </c>
      <c r="J15" s="619" t="s">
        <v>103</v>
      </c>
      <c r="K15" s="643"/>
    </row>
    <row r="16" spans="1:12" x14ac:dyDescent="0.25">
      <c r="A16" s="948" t="s">
        <v>5260</v>
      </c>
      <c r="B16" s="949"/>
      <c r="C16" s="949"/>
      <c r="D16" s="949"/>
      <c r="E16" s="949"/>
      <c r="F16" s="949"/>
      <c r="G16" s="949"/>
      <c r="H16" s="949"/>
      <c r="I16" s="629">
        <f>I14</f>
        <v>84.9</v>
      </c>
      <c r="J16" s="619" t="s">
        <v>103</v>
      </c>
      <c r="K16" s="643"/>
    </row>
    <row r="17" spans="1:12" x14ac:dyDescent="0.25">
      <c r="A17" s="958" t="s">
        <v>5262</v>
      </c>
      <c r="B17" s="959"/>
      <c r="C17" s="959"/>
      <c r="D17" s="959"/>
      <c r="E17" s="959"/>
      <c r="F17" s="959"/>
      <c r="G17" s="959"/>
      <c r="H17" s="959"/>
      <c r="I17" s="631">
        <f>I15</f>
        <v>163.92857142857144</v>
      </c>
      <c r="J17" s="619" t="s">
        <v>103</v>
      </c>
      <c r="K17" s="643"/>
    </row>
    <row r="18" spans="1:12" ht="37.15" customHeight="1" x14ac:dyDescent="0.25">
      <c r="A18" s="948" t="s">
        <v>281</v>
      </c>
      <c r="B18" s="949"/>
      <c r="C18" s="949"/>
      <c r="D18" s="949"/>
      <c r="E18" s="949"/>
      <c r="F18" s="949"/>
      <c r="G18" s="949"/>
      <c r="H18" s="949"/>
      <c r="I18" s="645">
        <f>I44</f>
        <v>416.5</v>
      </c>
      <c r="J18" s="619" t="s">
        <v>103</v>
      </c>
      <c r="K18" s="643"/>
    </row>
    <row r="19" spans="1:12" ht="21" customHeight="1" thickBot="1" x14ac:dyDescent="0.3">
      <c r="A19" s="960" t="s">
        <v>5269</v>
      </c>
      <c r="B19" s="961"/>
      <c r="C19" s="961"/>
      <c r="D19" s="961"/>
      <c r="E19" s="961"/>
      <c r="F19" s="961"/>
      <c r="G19" s="961"/>
      <c r="H19" s="962"/>
      <c r="I19" s="633">
        <v>932.42</v>
      </c>
      <c r="J19" s="624" t="s">
        <v>103</v>
      </c>
      <c r="K19" s="615"/>
    </row>
    <row r="20" spans="1:12" ht="18" thickBot="1" x14ac:dyDescent="0.3">
      <c r="A20" s="952" t="s">
        <v>100</v>
      </c>
      <c r="B20" s="953"/>
      <c r="C20" s="953"/>
      <c r="D20" s="953"/>
      <c r="E20" s="953"/>
      <c r="F20" s="953"/>
      <c r="G20" s="953"/>
      <c r="H20" s="953"/>
      <c r="I20" s="954"/>
      <c r="J20" s="634" t="s">
        <v>5</v>
      </c>
      <c r="K20" s="615"/>
    </row>
    <row r="21" spans="1:12" ht="30" customHeight="1" x14ac:dyDescent="0.25">
      <c r="A21" s="948" t="s">
        <v>5271</v>
      </c>
      <c r="B21" s="949"/>
      <c r="C21" s="949"/>
      <c r="D21" s="949"/>
      <c r="E21" s="949"/>
      <c r="F21" s="949"/>
      <c r="G21" s="949"/>
      <c r="H21" s="949"/>
      <c r="I21" s="629">
        <f>I19</f>
        <v>932.42</v>
      </c>
      <c r="J21" s="619" t="s">
        <v>103</v>
      </c>
      <c r="K21" s="615"/>
    </row>
    <row r="22" spans="1:12" x14ac:dyDescent="0.25">
      <c r="A22" s="948" t="s">
        <v>5273</v>
      </c>
      <c r="B22" s="949"/>
      <c r="C22" s="949"/>
      <c r="D22" s="949"/>
      <c r="E22" s="949"/>
      <c r="F22" s="949"/>
      <c r="G22" s="949"/>
      <c r="H22" s="949"/>
      <c r="I22" s="629">
        <f>I19</f>
        <v>932.42</v>
      </c>
      <c r="J22" s="619" t="s">
        <v>103</v>
      </c>
      <c r="K22" s="615"/>
    </row>
    <row r="23" spans="1:12" x14ac:dyDescent="0.25">
      <c r="A23" s="948" t="s">
        <v>283</v>
      </c>
      <c r="B23" s="949"/>
      <c r="C23" s="949"/>
      <c r="D23" s="949"/>
      <c r="E23" s="949"/>
      <c r="F23" s="949"/>
      <c r="G23" s="949"/>
      <c r="H23" s="949"/>
      <c r="I23" s="629">
        <f>I19*0.07</f>
        <v>65.269400000000005</v>
      </c>
      <c r="J23" s="619" t="s">
        <v>104</v>
      </c>
      <c r="K23" s="615"/>
    </row>
    <row r="24" spans="1:12" x14ac:dyDescent="0.25">
      <c r="A24" s="948" t="s">
        <v>284</v>
      </c>
      <c r="B24" s="949"/>
      <c r="C24" s="949"/>
      <c r="D24" s="949"/>
      <c r="E24" s="949"/>
      <c r="F24" s="949"/>
      <c r="G24" s="949"/>
      <c r="H24" s="949"/>
      <c r="I24" s="629">
        <f>I23</f>
        <v>65.269400000000005</v>
      </c>
      <c r="J24" s="619" t="s">
        <v>104</v>
      </c>
      <c r="K24" s="643"/>
    </row>
    <row r="25" spans="1:12" x14ac:dyDescent="0.25">
      <c r="A25" s="948" t="s">
        <v>5276</v>
      </c>
      <c r="B25" s="949"/>
      <c r="C25" s="949"/>
      <c r="D25" s="949"/>
      <c r="E25" s="949"/>
      <c r="F25" s="949"/>
      <c r="G25" s="949"/>
      <c r="H25" s="949"/>
      <c r="I25" s="629">
        <f>I19*1.2</f>
        <v>1118.904</v>
      </c>
      <c r="J25" s="619" t="s">
        <v>103</v>
      </c>
      <c r="K25" s="643"/>
    </row>
    <row r="26" spans="1:12" ht="15.75" thickBot="1" x14ac:dyDescent="0.3">
      <c r="A26" s="948"/>
      <c r="B26" s="949"/>
      <c r="C26" s="949"/>
      <c r="D26" s="949"/>
      <c r="E26" s="949"/>
      <c r="F26" s="949"/>
      <c r="G26" s="949"/>
      <c r="H26" s="949"/>
      <c r="I26" s="629"/>
      <c r="J26" s="619"/>
      <c r="K26" s="643"/>
    </row>
    <row r="27" spans="1:12" ht="18" thickBot="1" x14ac:dyDescent="0.3">
      <c r="A27" s="952" t="s">
        <v>5297</v>
      </c>
      <c r="B27" s="953"/>
      <c r="C27" s="953"/>
      <c r="D27" s="953"/>
      <c r="E27" s="953"/>
      <c r="F27" s="953"/>
      <c r="G27" s="953"/>
      <c r="H27" s="953"/>
      <c r="I27" s="954"/>
      <c r="J27" s="635" t="s">
        <v>5</v>
      </c>
      <c r="K27" s="615"/>
    </row>
    <row r="28" spans="1:12" x14ac:dyDescent="0.25">
      <c r="A28" s="941" t="s">
        <v>5248</v>
      </c>
      <c r="B28" s="942"/>
      <c r="C28" s="942"/>
      <c r="D28" s="942"/>
      <c r="E28" s="942"/>
      <c r="F28" s="942"/>
      <c r="G28" s="942"/>
      <c r="H28" s="942"/>
      <c r="I28" s="626">
        <f>88*12</f>
        <v>1056</v>
      </c>
      <c r="J28" s="627" t="s">
        <v>63</v>
      </c>
      <c r="K28" s="615"/>
    </row>
    <row r="29" spans="1:12" x14ac:dyDescent="0.25">
      <c r="A29" s="900" t="s">
        <v>5250</v>
      </c>
      <c r="B29" s="901"/>
      <c r="C29" s="901"/>
      <c r="D29" s="901"/>
      <c r="E29" s="901"/>
      <c r="F29" s="901"/>
      <c r="G29" s="901"/>
      <c r="H29" s="901"/>
      <c r="I29" s="646">
        <v>677.6</v>
      </c>
      <c r="J29" s="628" t="s">
        <v>71</v>
      </c>
      <c r="K29" s="615"/>
      <c r="L29" s="647"/>
    </row>
    <row r="30" spans="1:12" x14ac:dyDescent="0.25">
      <c r="A30" s="900" t="s">
        <v>5252</v>
      </c>
      <c r="B30" s="901"/>
      <c r="C30" s="901"/>
      <c r="D30" s="901"/>
      <c r="E30" s="901"/>
      <c r="F30" s="901"/>
      <c r="G30" s="901"/>
      <c r="H30" s="901"/>
      <c r="I30" s="646">
        <v>1668.48</v>
      </c>
      <c r="J30" s="628" t="s">
        <v>71</v>
      </c>
      <c r="K30" s="615"/>
      <c r="L30" s="647"/>
    </row>
    <row r="31" spans="1:12" ht="15.75" thickBot="1" x14ac:dyDescent="0.3">
      <c r="A31" s="948"/>
      <c r="B31" s="949"/>
      <c r="C31" s="949"/>
      <c r="D31" s="949"/>
      <c r="E31" s="949"/>
      <c r="F31" s="949"/>
      <c r="G31" s="949"/>
      <c r="H31" s="949"/>
      <c r="I31" s="629"/>
      <c r="J31" s="619"/>
      <c r="K31" s="643"/>
    </row>
    <row r="32" spans="1:12" ht="18" thickBot="1" x14ac:dyDescent="0.3">
      <c r="A32" s="952" t="s">
        <v>5277</v>
      </c>
      <c r="B32" s="953"/>
      <c r="C32" s="953"/>
      <c r="D32" s="953"/>
      <c r="E32" s="953"/>
      <c r="F32" s="953"/>
      <c r="G32" s="953"/>
      <c r="H32" s="953"/>
      <c r="I32" s="954"/>
      <c r="J32" s="635" t="s">
        <v>5</v>
      </c>
      <c r="K32" s="615"/>
    </row>
    <row r="33" spans="1:11" x14ac:dyDescent="0.25">
      <c r="A33" s="941" t="s">
        <v>285</v>
      </c>
      <c r="B33" s="942"/>
      <c r="C33" s="942"/>
      <c r="D33" s="942"/>
      <c r="E33" s="942"/>
      <c r="F33" s="942"/>
      <c r="G33" s="942"/>
      <c r="H33" s="942"/>
      <c r="I33" s="626">
        <f>31*(1.5+1.5+0.6+0.6)*0.6+26*(0.6+0.6+0.6+0.6)*0.6</f>
        <v>115.56</v>
      </c>
      <c r="J33" s="627" t="s">
        <v>103</v>
      </c>
      <c r="K33" s="615"/>
    </row>
    <row r="34" spans="1:11" x14ac:dyDescent="0.25">
      <c r="A34" s="948" t="s">
        <v>286</v>
      </c>
      <c r="B34" s="949"/>
      <c r="C34" s="949"/>
      <c r="D34" s="949"/>
      <c r="E34" s="949"/>
      <c r="F34" s="949"/>
      <c r="G34" s="949"/>
      <c r="H34" s="949"/>
      <c r="I34" s="629">
        <f>31*1.5*0.6*0.6+26*0.6*0.6*0.6</f>
        <v>22.355999999999998</v>
      </c>
      <c r="J34" s="619" t="s">
        <v>104</v>
      </c>
      <c r="K34" s="643"/>
    </row>
    <row r="35" spans="1:11" x14ac:dyDescent="0.25">
      <c r="A35" s="948" t="s">
        <v>284</v>
      </c>
      <c r="B35" s="949"/>
      <c r="C35" s="949"/>
      <c r="D35" s="949"/>
      <c r="E35" s="949"/>
      <c r="F35" s="949"/>
      <c r="G35" s="949"/>
      <c r="H35" s="949"/>
      <c r="I35" s="629">
        <f>I34</f>
        <v>22.355999999999998</v>
      </c>
      <c r="J35" s="619" t="s">
        <v>104</v>
      </c>
      <c r="K35" s="643"/>
    </row>
    <row r="36" spans="1:11" x14ac:dyDescent="0.25">
      <c r="A36" s="948" t="s">
        <v>287</v>
      </c>
      <c r="B36" s="949"/>
      <c r="C36" s="949"/>
      <c r="D36" s="949"/>
      <c r="E36" s="949"/>
      <c r="F36" s="949"/>
      <c r="G36" s="949"/>
      <c r="H36" s="949"/>
      <c r="I36" s="629">
        <v>0</v>
      </c>
      <c r="J36" s="619" t="s">
        <v>71</v>
      </c>
      <c r="K36" s="615"/>
    </row>
    <row r="37" spans="1:11" x14ac:dyDescent="0.25">
      <c r="A37" s="948" t="s">
        <v>291</v>
      </c>
      <c r="B37" s="949"/>
      <c r="C37" s="949"/>
      <c r="D37" s="949"/>
      <c r="E37" s="949"/>
      <c r="F37" s="949"/>
      <c r="G37" s="949"/>
      <c r="H37" s="949"/>
      <c r="I37" s="629">
        <v>328</v>
      </c>
      <c r="J37" s="619" t="s">
        <v>71</v>
      </c>
      <c r="K37" s="643"/>
    </row>
    <row r="38" spans="1:11" x14ac:dyDescent="0.25">
      <c r="A38" s="948" t="s">
        <v>292</v>
      </c>
      <c r="B38" s="949"/>
      <c r="C38" s="949"/>
      <c r="D38" s="949"/>
      <c r="E38" s="949"/>
      <c r="F38" s="949"/>
      <c r="G38" s="949"/>
      <c r="H38" s="949"/>
      <c r="I38" s="629">
        <v>0</v>
      </c>
      <c r="J38" s="619" t="s">
        <v>71</v>
      </c>
      <c r="K38" s="615"/>
    </row>
    <row r="39" spans="1:11" x14ac:dyDescent="0.25">
      <c r="A39" s="948" t="s">
        <v>288</v>
      </c>
      <c r="B39" s="949"/>
      <c r="C39" s="949"/>
      <c r="D39" s="949"/>
      <c r="E39" s="949"/>
      <c r="F39" s="949"/>
      <c r="G39" s="949"/>
      <c r="H39" s="949"/>
      <c r="I39" s="629">
        <v>386</v>
      </c>
      <c r="J39" s="619" t="s">
        <v>71</v>
      </c>
      <c r="K39" s="643"/>
    </row>
    <row r="40" spans="1:11" x14ac:dyDescent="0.25">
      <c r="A40" s="948" t="s">
        <v>1118</v>
      </c>
      <c r="B40" s="949"/>
      <c r="C40" s="949"/>
      <c r="D40" s="949"/>
      <c r="E40" s="949"/>
      <c r="F40" s="949"/>
      <c r="G40" s="949"/>
      <c r="H40" s="949"/>
      <c r="I40" s="629">
        <v>249</v>
      </c>
      <c r="J40" s="619" t="s">
        <v>71</v>
      </c>
      <c r="K40" s="643"/>
    </row>
    <row r="41" spans="1:11" x14ac:dyDescent="0.25">
      <c r="A41" s="948" t="s">
        <v>293</v>
      </c>
      <c r="B41" s="949"/>
      <c r="C41" s="949"/>
      <c r="D41" s="949"/>
      <c r="E41" s="949"/>
      <c r="F41" s="949"/>
      <c r="G41" s="949"/>
      <c r="H41" s="949"/>
      <c r="I41" s="629">
        <v>0</v>
      </c>
      <c r="J41" s="619" t="s">
        <v>71</v>
      </c>
      <c r="K41" s="643"/>
    </row>
    <row r="42" spans="1:11" ht="15.75" thickBot="1" x14ac:dyDescent="0.3">
      <c r="A42" s="948"/>
      <c r="B42" s="949"/>
      <c r="C42" s="949"/>
      <c r="D42" s="949"/>
      <c r="E42" s="949"/>
      <c r="F42" s="949"/>
      <c r="G42" s="949"/>
      <c r="H42" s="949"/>
      <c r="I42" s="648"/>
      <c r="J42" s="619" t="s">
        <v>75</v>
      </c>
      <c r="K42" s="615"/>
    </row>
    <row r="43" spans="1:11" ht="18" thickBot="1" x14ac:dyDescent="0.3">
      <c r="A43" s="952" t="s">
        <v>256</v>
      </c>
      <c r="B43" s="953"/>
      <c r="C43" s="953"/>
      <c r="D43" s="953"/>
      <c r="E43" s="953"/>
      <c r="F43" s="953"/>
      <c r="G43" s="953"/>
      <c r="H43" s="953"/>
      <c r="I43" s="954"/>
      <c r="J43" s="635" t="s">
        <v>5</v>
      </c>
      <c r="K43" s="615"/>
    </row>
    <row r="44" spans="1:11" x14ac:dyDescent="0.25">
      <c r="A44" s="941" t="s">
        <v>290</v>
      </c>
      <c r="B44" s="942"/>
      <c r="C44" s="942"/>
      <c r="D44" s="942"/>
      <c r="E44" s="942"/>
      <c r="F44" s="942"/>
      <c r="G44" s="942"/>
      <c r="H44" s="942"/>
      <c r="I44" s="626">
        <v>416.5</v>
      </c>
      <c r="J44" s="627" t="s">
        <v>103</v>
      </c>
      <c r="K44" s="615"/>
    </row>
    <row r="45" spans="1:11" x14ac:dyDescent="0.25">
      <c r="A45" s="948" t="s">
        <v>286</v>
      </c>
      <c r="B45" s="949"/>
      <c r="C45" s="949"/>
      <c r="D45" s="949"/>
      <c r="E45" s="949"/>
      <c r="F45" s="949"/>
      <c r="G45" s="949"/>
      <c r="H45" s="949"/>
      <c r="I45" s="629">
        <v>25.5</v>
      </c>
      <c r="J45" s="619" t="s">
        <v>104</v>
      </c>
      <c r="K45" s="643"/>
    </row>
    <row r="46" spans="1:11" x14ac:dyDescent="0.25">
      <c r="A46" s="948" t="s">
        <v>284</v>
      </c>
      <c r="B46" s="949"/>
      <c r="C46" s="949"/>
      <c r="D46" s="949"/>
      <c r="E46" s="949"/>
      <c r="F46" s="949"/>
      <c r="G46" s="949"/>
      <c r="H46" s="949"/>
      <c r="I46" s="629">
        <f>I45</f>
        <v>25.5</v>
      </c>
      <c r="J46" s="619" t="s">
        <v>104</v>
      </c>
      <c r="K46" s="649"/>
    </row>
    <row r="47" spans="1:11" x14ac:dyDescent="0.25">
      <c r="A47" s="955" t="s">
        <v>287</v>
      </c>
      <c r="B47" s="956"/>
      <c r="C47" s="956"/>
      <c r="D47" s="956"/>
      <c r="E47" s="956"/>
      <c r="F47" s="956"/>
      <c r="G47" s="956"/>
      <c r="H47" s="957"/>
      <c r="I47" s="629">
        <v>349</v>
      </c>
      <c r="J47" s="619" t="s">
        <v>71</v>
      </c>
      <c r="K47" s="643"/>
    </row>
    <row r="48" spans="1:11" x14ac:dyDescent="0.25">
      <c r="A48" s="955" t="s">
        <v>5285</v>
      </c>
      <c r="B48" s="956"/>
      <c r="C48" s="956"/>
      <c r="D48" s="956"/>
      <c r="E48" s="956"/>
      <c r="F48" s="956"/>
      <c r="G48" s="956"/>
      <c r="H48" s="957"/>
      <c r="I48" s="629">
        <v>280</v>
      </c>
      <c r="J48" s="619" t="s">
        <v>71</v>
      </c>
      <c r="K48" s="643"/>
    </row>
    <row r="49" spans="1:11" x14ac:dyDescent="0.25">
      <c r="A49" s="948" t="s">
        <v>292</v>
      </c>
      <c r="B49" s="949"/>
      <c r="C49" s="949"/>
      <c r="D49" s="949"/>
      <c r="E49" s="949"/>
      <c r="F49" s="949"/>
      <c r="G49" s="949"/>
      <c r="H49" s="949"/>
      <c r="I49" s="629">
        <v>207</v>
      </c>
      <c r="J49" s="619" t="s">
        <v>71</v>
      </c>
      <c r="K49" s="615"/>
    </row>
    <row r="50" spans="1:11" ht="15.75" thickBot="1" x14ac:dyDescent="0.3">
      <c r="A50" s="950" t="s">
        <v>288</v>
      </c>
      <c r="B50" s="951"/>
      <c r="C50" s="951"/>
      <c r="D50" s="951"/>
      <c r="E50" s="951"/>
      <c r="F50" s="951"/>
      <c r="G50" s="951"/>
      <c r="H50" s="951"/>
      <c r="I50" s="639">
        <v>634</v>
      </c>
      <c r="J50" s="624" t="s">
        <v>71</v>
      </c>
      <c r="K50" s="643"/>
    </row>
    <row r="51" spans="1:11" ht="18" thickBot="1" x14ac:dyDescent="0.3">
      <c r="A51" s="952" t="s">
        <v>3047</v>
      </c>
      <c r="B51" s="953"/>
      <c r="C51" s="953"/>
      <c r="D51" s="953"/>
      <c r="E51" s="953"/>
      <c r="F51" s="953"/>
      <c r="G51" s="953"/>
      <c r="H51" s="953"/>
      <c r="I51" s="954"/>
      <c r="J51" s="635" t="s">
        <v>5</v>
      </c>
      <c r="K51" s="615"/>
    </row>
    <row r="52" spans="1:11" x14ac:dyDescent="0.25">
      <c r="A52" s="941" t="s">
        <v>290</v>
      </c>
      <c r="B52" s="942"/>
      <c r="C52" s="942"/>
      <c r="D52" s="942"/>
      <c r="E52" s="942"/>
      <c r="F52" s="942"/>
      <c r="G52" s="942"/>
      <c r="H52" s="942"/>
      <c r="I52" s="626">
        <v>37.9</v>
      </c>
      <c r="J52" s="627" t="s">
        <v>103</v>
      </c>
      <c r="K52" s="615"/>
    </row>
    <row r="53" spans="1:11" x14ac:dyDescent="0.25">
      <c r="A53" s="948" t="s">
        <v>286</v>
      </c>
      <c r="B53" s="949"/>
      <c r="C53" s="949"/>
      <c r="D53" s="949"/>
      <c r="E53" s="949"/>
      <c r="F53" s="949"/>
      <c r="G53" s="949"/>
      <c r="H53" s="949"/>
      <c r="I53" s="629">
        <v>2.4</v>
      </c>
      <c r="J53" s="619" t="s">
        <v>104</v>
      </c>
      <c r="K53" s="643"/>
    </row>
    <row r="54" spans="1:11" x14ac:dyDescent="0.25">
      <c r="A54" s="948" t="s">
        <v>284</v>
      </c>
      <c r="B54" s="949"/>
      <c r="C54" s="949"/>
      <c r="D54" s="949"/>
      <c r="E54" s="949"/>
      <c r="F54" s="949"/>
      <c r="G54" s="949"/>
      <c r="H54" s="949"/>
      <c r="I54" s="629">
        <f>I53</f>
        <v>2.4</v>
      </c>
      <c r="J54" s="619" t="s">
        <v>104</v>
      </c>
      <c r="K54" s="643"/>
    </row>
    <row r="55" spans="1:11" x14ac:dyDescent="0.25">
      <c r="A55" s="948" t="s">
        <v>5286</v>
      </c>
      <c r="B55" s="949"/>
      <c r="C55" s="949"/>
      <c r="D55" s="949"/>
      <c r="E55" s="949"/>
      <c r="F55" s="949"/>
      <c r="G55" s="949"/>
      <c r="H55" s="949"/>
      <c r="I55" s="629">
        <v>98</v>
      </c>
      <c r="J55" s="619" t="s">
        <v>71</v>
      </c>
      <c r="K55" s="615"/>
    </row>
    <row r="56" spans="1:11" x14ac:dyDescent="0.25">
      <c r="A56" s="948" t="s">
        <v>292</v>
      </c>
      <c r="B56" s="949"/>
      <c r="C56" s="949"/>
      <c r="D56" s="949"/>
      <c r="E56" s="949"/>
      <c r="F56" s="949"/>
      <c r="G56" s="949"/>
      <c r="H56" s="949"/>
      <c r="I56" s="629">
        <v>2</v>
      </c>
      <c r="J56" s="619" t="s">
        <v>71</v>
      </c>
      <c r="K56" s="615"/>
    </row>
    <row r="57" spans="1:11" x14ac:dyDescent="0.25">
      <c r="A57" s="948" t="s">
        <v>288</v>
      </c>
      <c r="B57" s="949"/>
      <c r="C57" s="949"/>
      <c r="D57" s="949"/>
      <c r="E57" s="949"/>
      <c r="F57" s="949"/>
      <c r="G57" s="949"/>
      <c r="H57" s="949"/>
      <c r="I57" s="629">
        <v>265</v>
      </c>
      <c r="J57" s="619" t="s">
        <v>71</v>
      </c>
      <c r="K57" s="615"/>
    </row>
    <row r="58" spans="1:11" x14ac:dyDescent="0.25">
      <c r="A58" s="948" t="s">
        <v>293</v>
      </c>
      <c r="B58" s="949"/>
      <c r="C58" s="949"/>
      <c r="D58" s="949"/>
      <c r="E58" s="949"/>
      <c r="F58" s="949"/>
      <c r="G58" s="949"/>
      <c r="H58" s="949"/>
      <c r="I58" s="629">
        <v>0</v>
      </c>
      <c r="J58" s="619" t="s">
        <v>71</v>
      </c>
      <c r="K58" s="615"/>
    </row>
    <row r="59" spans="1:11" ht="15.75" thickBot="1" x14ac:dyDescent="0.3">
      <c r="A59" s="650"/>
      <c r="B59" s="650"/>
      <c r="C59" s="650"/>
      <c r="D59" s="650"/>
      <c r="E59" s="650"/>
      <c r="F59" s="650"/>
      <c r="G59" s="650"/>
      <c r="H59" s="650"/>
      <c r="I59" s="615"/>
      <c r="J59" s="615"/>
      <c r="K59" s="615"/>
    </row>
    <row r="60" spans="1:11" ht="18" thickBot="1" x14ac:dyDescent="0.3">
      <c r="A60" s="909" t="s">
        <v>257</v>
      </c>
      <c r="B60" s="910"/>
      <c r="C60" s="910"/>
      <c r="D60" s="910"/>
      <c r="E60" s="910"/>
      <c r="F60" s="910"/>
      <c r="G60" s="910"/>
      <c r="H60" s="910"/>
      <c r="I60" s="911"/>
      <c r="J60" s="615"/>
      <c r="K60" s="615"/>
    </row>
    <row r="61" spans="1:11" ht="18" thickBot="1" x14ac:dyDescent="0.3">
      <c r="A61" s="952" t="s">
        <v>258</v>
      </c>
      <c r="B61" s="953"/>
      <c r="C61" s="953"/>
      <c r="D61" s="953"/>
      <c r="E61" s="953"/>
      <c r="F61" s="953"/>
      <c r="G61" s="953"/>
      <c r="H61" s="953"/>
      <c r="I61" s="954"/>
      <c r="J61" s="635" t="s">
        <v>5</v>
      </c>
      <c r="K61" s="615"/>
    </row>
    <row r="62" spans="1:11" x14ac:dyDescent="0.25">
      <c r="A62" s="941" t="s">
        <v>290</v>
      </c>
      <c r="B62" s="942"/>
      <c r="C62" s="942"/>
      <c r="D62" s="942"/>
      <c r="E62" s="942"/>
      <c r="F62" s="942"/>
      <c r="G62" s="942"/>
      <c r="H62" s="942"/>
      <c r="I62" s="626">
        <f>224.7+78.3+45.3</f>
        <v>348.3</v>
      </c>
      <c r="J62" s="627" t="s">
        <v>103</v>
      </c>
      <c r="K62" s="615"/>
    </row>
    <row r="63" spans="1:11" x14ac:dyDescent="0.25">
      <c r="A63" s="948" t="s">
        <v>286</v>
      </c>
      <c r="B63" s="949"/>
      <c r="C63" s="949"/>
      <c r="D63" s="949"/>
      <c r="E63" s="949"/>
      <c r="F63" s="949"/>
      <c r="G63" s="949"/>
      <c r="H63" s="949"/>
      <c r="I63" s="629">
        <f>14.1+5+2.9</f>
        <v>22</v>
      </c>
      <c r="J63" s="619" t="s">
        <v>104</v>
      </c>
      <c r="K63" s="643"/>
    </row>
    <row r="64" spans="1:11" x14ac:dyDescent="0.25">
      <c r="A64" s="948" t="s">
        <v>284</v>
      </c>
      <c r="B64" s="949"/>
      <c r="C64" s="949"/>
      <c r="D64" s="949"/>
      <c r="E64" s="949"/>
      <c r="F64" s="949"/>
      <c r="G64" s="949"/>
      <c r="H64" s="949"/>
      <c r="I64" s="629">
        <f>I63</f>
        <v>22</v>
      </c>
      <c r="J64" s="619" t="s">
        <v>104</v>
      </c>
      <c r="K64" s="615"/>
    </row>
    <row r="65" spans="1:11" x14ac:dyDescent="0.25">
      <c r="A65" s="948" t="s">
        <v>287</v>
      </c>
      <c r="B65" s="949"/>
      <c r="C65" s="949"/>
      <c r="D65" s="949"/>
      <c r="E65" s="949"/>
      <c r="F65" s="949"/>
      <c r="G65" s="949"/>
      <c r="H65" s="949"/>
      <c r="I65" s="629">
        <f>40+146+347</f>
        <v>533</v>
      </c>
      <c r="J65" s="619" t="s">
        <v>71</v>
      </c>
      <c r="K65" s="643"/>
    </row>
    <row r="66" spans="1:11" x14ac:dyDescent="0.25">
      <c r="A66" s="948" t="s">
        <v>292</v>
      </c>
      <c r="B66" s="949"/>
      <c r="C66" s="949"/>
      <c r="D66" s="949"/>
      <c r="E66" s="949"/>
      <c r="F66" s="949"/>
      <c r="G66" s="949"/>
      <c r="H66" s="949"/>
      <c r="I66" s="629">
        <f>10+33+10</f>
        <v>53</v>
      </c>
      <c r="J66" s="619" t="s">
        <v>71</v>
      </c>
      <c r="K66" s="615"/>
    </row>
    <row r="67" spans="1:11" ht="13.9" customHeight="1" x14ac:dyDescent="0.25">
      <c r="A67" s="948" t="s">
        <v>288</v>
      </c>
      <c r="B67" s="949"/>
      <c r="C67" s="949"/>
      <c r="D67" s="949"/>
      <c r="E67" s="949"/>
      <c r="F67" s="949"/>
      <c r="G67" s="949"/>
      <c r="H67" s="949"/>
      <c r="I67" s="629">
        <f>80+289+748</f>
        <v>1117</v>
      </c>
      <c r="J67" s="619" t="s">
        <v>71</v>
      </c>
      <c r="K67" s="643"/>
    </row>
    <row r="68" spans="1:11" ht="13.9" customHeight="1" x14ac:dyDescent="0.25">
      <c r="A68" s="948" t="s">
        <v>1118</v>
      </c>
      <c r="B68" s="949"/>
      <c r="C68" s="949"/>
      <c r="D68" s="949"/>
      <c r="E68" s="949"/>
      <c r="F68" s="949"/>
      <c r="G68" s="949"/>
      <c r="H68" s="949"/>
      <c r="I68" s="629">
        <v>0</v>
      </c>
      <c r="J68" s="619" t="s">
        <v>71</v>
      </c>
      <c r="K68" s="643"/>
    </row>
    <row r="69" spans="1:11" ht="15.75" thickBot="1" x14ac:dyDescent="0.3">
      <c r="A69" s="948" t="s">
        <v>293</v>
      </c>
      <c r="B69" s="949"/>
      <c r="C69" s="949"/>
      <c r="D69" s="949"/>
      <c r="E69" s="949"/>
      <c r="F69" s="949"/>
      <c r="G69" s="949"/>
      <c r="H69" s="949"/>
      <c r="I69" s="629">
        <v>0</v>
      </c>
      <c r="J69" s="619" t="s">
        <v>71</v>
      </c>
      <c r="K69" s="615"/>
    </row>
    <row r="70" spans="1:11" ht="18" thickBot="1" x14ac:dyDescent="0.3">
      <c r="A70" s="952" t="s">
        <v>259</v>
      </c>
      <c r="B70" s="953"/>
      <c r="C70" s="953"/>
      <c r="D70" s="953"/>
      <c r="E70" s="953"/>
      <c r="F70" s="953"/>
      <c r="G70" s="953"/>
      <c r="H70" s="953"/>
      <c r="I70" s="954"/>
      <c r="J70" s="635" t="s">
        <v>5</v>
      </c>
      <c r="K70" s="615"/>
    </row>
    <row r="71" spans="1:11" x14ac:dyDescent="0.25">
      <c r="A71" s="941" t="s">
        <v>290</v>
      </c>
      <c r="B71" s="942"/>
      <c r="C71" s="942"/>
      <c r="D71" s="942"/>
      <c r="E71" s="942"/>
      <c r="F71" s="942"/>
      <c r="G71" s="942"/>
      <c r="H71" s="942"/>
      <c r="I71" s="626">
        <f>125.5+283.3+395.8</f>
        <v>804.6</v>
      </c>
      <c r="J71" s="627" t="s">
        <v>103</v>
      </c>
      <c r="K71" s="615"/>
    </row>
    <row r="72" spans="1:11" x14ac:dyDescent="0.25">
      <c r="A72" s="948" t="s">
        <v>286</v>
      </c>
      <c r="B72" s="949"/>
      <c r="C72" s="949"/>
      <c r="D72" s="949"/>
      <c r="E72" s="949"/>
      <c r="F72" s="949"/>
      <c r="G72" s="949"/>
      <c r="H72" s="949"/>
      <c r="I72" s="629">
        <f>8.8+22.2+31.1</f>
        <v>62.1</v>
      </c>
      <c r="J72" s="619" t="s">
        <v>104</v>
      </c>
      <c r="K72" s="615"/>
    </row>
    <row r="73" spans="1:11" x14ac:dyDescent="0.25">
      <c r="A73" s="948" t="s">
        <v>284</v>
      </c>
      <c r="B73" s="949"/>
      <c r="C73" s="949"/>
      <c r="D73" s="949"/>
      <c r="E73" s="949"/>
      <c r="F73" s="949"/>
      <c r="G73" s="949"/>
      <c r="H73" s="949"/>
      <c r="I73" s="629">
        <f>I72</f>
        <v>62.1</v>
      </c>
      <c r="J73" s="619" t="s">
        <v>104</v>
      </c>
      <c r="K73" s="643"/>
    </row>
    <row r="74" spans="1:11" x14ac:dyDescent="0.25">
      <c r="A74" s="948" t="s">
        <v>287</v>
      </c>
      <c r="B74" s="949"/>
      <c r="C74" s="949"/>
      <c r="D74" s="949"/>
      <c r="E74" s="949"/>
      <c r="F74" s="949"/>
      <c r="G74" s="949"/>
      <c r="H74" s="949"/>
      <c r="I74" s="629">
        <f>108+254+383</f>
        <v>745</v>
      </c>
      <c r="J74" s="619" t="s">
        <v>71</v>
      </c>
      <c r="K74" s="643"/>
    </row>
    <row r="75" spans="1:11" x14ac:dyDescent="0.25">
      <c r="A75" s="948" t="s">
        <v>5285</v>
      </c>
      <c r="B75" s="949"/>
      <c r="C75" s="949"/>
      <c r="D75" s="949"/>
      <c r="E75" s="949"/>
      <c r="F75" s="949"/>
      <c r="G75" s="949"/>
      <c r="H75" s="949"/>
      <c r="I75" s="629">
        <f>242+125+121</f>
        <v>488</v>
      </c>
      <c r="J75" s="619" t="s">
        <v>71</v>
      </c>
      <c r="K75" s="643"/>
    </row>
    <row r="76" spans="1:11" x14ac:dyDescent="0.25">
      <c r="A76" s="948" t="s">
        <v>292</v>
      </c>
      <c r="B76" s="949"/>
      <c r="C76" s="949"/>
      <c r="D76" s="949"/>
      <c r="E76" s="949"/>
      <c r="F76" s="949"/>
      <c r="G76" s="949"/>
      <c r="H76" s="949"/>
      <c r="I76" s="629">
        <f>8+315+260</f>
        <v>583</v>
      </c>
      <c r="J76" s="619" t="s">
        <v>71</v>
      </c>
      <c r="K76" s="643"/>
    </row>
    <row r="77" spans="1:11" ht="13.9" customHeight="1" x14ac:dyDescent="0.25">
      <c r="A77" s="948" t="s">
        <v>288</v>
      </c>
      <c r="B77" s="949"/>
      <c r="C77" s="949"/>
      <c r="D77" s="949"/>
      <c r="E77" s="949"/>
      <c r="F77" s="949"/>
      <c r="G77" s="949"/>
      <c r="H77" s="949"/>
      <c r="I77" s="629">
        <f>260+547+858</f>
        <v>1665</v>
      </c>
      <c r="J77" s="619" t="s">
        <v>71</v>
      </c>
      <c r="K77" s="643"/>
    </row>
    <row r="78" spans="1:11" ht="13.9" customHeight="1" x14ac:dyDescent="0.25">
      <c r="A78" s="948" t="s">
        <v>1118</v>
      </c>
      <c r="B78" s="949"/>
      <c r="C78" s="949"/>
      <c r="D78" s="949"/>
      <c r="E78" s="949"/>
      <c r="F78" s="949"/>
      <c r="G78" s="949"/>
      <c r="H78" s="949"/>
      <c r="I78" s="629">
        <f>86+55+10</f>
        <v>151</v>
      </c>
      <c r="J78" s="619" t="s">
        <v>71</v>
      </c>
      <c r="K78" s="643"/>
    </row>
    <row r="79" spans="1:11" x14ac:dyDescent="0.25">
      <c r="A79" s="948" t="s">
        <v>293</v>
      </c>
      <c r="B79" s="949"/>
      <c r="C79" s="949"/>
      <c r="D79" s="949"/>
      <c r="E79" s="949"/>
      <c r="F79" s="949"/>
      <c r="G79" s="949"/>
      <c r="H79" s="949"/>
      <c r="I79" s="629">
        <v>122</v>
      </c>
      <c r="J79" s="619" t="s">
        <v>71</v>
      </c>
      <c r="K79" s="615"/>
    </row>
    <row r="80" spans="1:11" ht="15.75" thickBot="1" x14ac:dyDescent="0.3">
      <c r="A80" s="615"/>
      <c r="B80" s="615"/>
      <c r="C80" s="615"/>
      <c r="D80" s="615"/>
      <c r="E80" s="615"/>
      <c r="F80" s="615"/>
      <c r="G80" s="615"/>
      <c r="H80" s="615"/>
      <c r="I80" s="615"/>
      <c r="J80" s="615"/>
      <c r="K80" s="615"/>
    </row>
    <row r="81" spans="1:11" ht="18" thickBot="1" x14ac:dyDescent="0.3">
      <c r="A81" s="952" t="s">
        <v>5289</v>
      </c>
      <c r="B81" s="953"/>
      <c r="C81" s="953"/>
      <c r="D81" s="953"/>
      <c r="E81" s="953"/>
      <c r="F81" s="953"/>
      <c r="G81" s="953"/>
      <c r="H81" s="953"/>
      <c r="I81" s="954"/>
      <c r="J81" s="635" t="s">
        <v>5</v>
      </c>
      <c r="K81" s="615"/>
    </row>
    <row r="82" spans="1:11" x14ac:dyDescent="0.25">
      <c r="A82" s="941" t="s">
        <v>5291</v>
      </c>
      <c r="B82" s="942"/>
      <c r="C82" s="942"/>
      <c r="D82" s="942"/>
      <c r="E82" s="942"/>
      <c r="F82" s="942"/>
      <c r="G82" s="942"/>
      <c r="H82" s="942"/>
      <c r="I82" s="626">
        <v>1004.6</v>
      </c>
      <c r="J82" s="627" t="s">
        <v>103</v>
      </c>
      <c r="K82" s="615"/>
    </row>
    <row r="83" spans="1:11" ht="15.75" thickBot="1" x14ac:dyDescent="0.3">
      <c r="A83" s="615"/>
      <c r="B83" s="615"/>
      <c r="C83" s="615"/>
      <c r="D83" s="615"/>
      <c r="E83" s="615"/>
      <c r="F83" s="615"/>
      <c r="G83" s="615"/>
      <c r="H83" s="615"/>
      <c r="I83" s="615"/>
      <c r="J83" s="615"/>
      <c r="K83" s="615"/>
    </row>
    <row r="84" spans="1:11" ht="18" thickBot="1" x14ac:dyDescent="0.3">
      <c r="A84" s="909" t="s">
        <v>5292</v>
      </c>
      <c r="B84" s="910"/>
      <c r="C84" s="910"/>
      <c r="D84" s="910"/>
      <c r="E84" s="910"/>
      <c r="F84" s="910"/>
      <c r="G84" s="910"/>
      <c r="H84" s="910"/>
      <c r="I84" s="911"/>
      <c r="J84" s="615"/>
      <c r="K84" s="615"/>
    </row>
    <row r="85" spans="1:11" ht="18" thickBot="1" x14ac:dyDescent="0.3">
      <c r="A85" s="943" t="s">
        <v>62</v>
      </c>
      <c r="B85" s="944"/>
      <c r="C85" s="944"/>
      <c r="D85" s="944"/>
      <c r="E85" s="944"/>
      <c r="F85" s="944"/>
      <c r="G85" s="944"/>
      <c r="H85" s="944"/>
      <c r="I85" s="945"/>
      <c r="J85" s="640" t="s">
        <v>5</v>
      </c>
      <c r="K85" s="615"/>
    </row>
    <row r="86" spans="1:11" x14ac:dyDescent="0.25">
      <c r="A86" s="946" t="s">
        <v>260</v>
      </c>
      <c r="B86" s="947"/>
      <c r="C86" s="947"/>
      <c r="D86" s="947"/>
      <c r="E86" s="947"/>
      <c r="F86" s="947"/>
      <c r="G86" s="947"/>
      <c r="H86" s="947"/>
      <c r="I86" s="642">
        <v>20026.46</v>
      </c>
      <c r="J86" s="627" t="s">
        <v>71</v>
      </c>
      <c r="K86" s="615"/>
    </row>
    <row r="87" spans="1:11" x14ac:dyDescent="0.25">
      <c r="A87" s="948" t="s">
        <v>261</v>
      </c>
      <c r="B87" s="949"/>
      <c r="C87" s="949"/>
      <c r="D87" s="949"/>
      <c r="E87" s="949"/>
      <c r="F87" s="949"/>
      <c r="G87" s="949"/>
      <c r="H87" s="949"/>
      <c r="I87" s="629">
        <v>930.6</v>
      </c>
      <c r="J87" s="619" t="s">
        <v>103</v>
      </c>
      <c r="K87" s="615"/>
    </row>
    <row r="88" spans="1:11" ht="15.75" thickBot="1" x14ac:dyDescent="0.3">
      <c r="A88" s="950" t="s">
        <v>262</v>
      </c>
      <c r="B88" s="951"/>
      <c r="C88" s="951"/>
      <c r="D88" s="951"/>
      <c r="E88" s="951"/>
      <c r="F88" s="951"/>
      <c r="G88" s="951"/>
      <c r="H88" s="951"/>
      <c r="I88" s="639">
        <v>151.72</v>
      </c>
      <c r="J88" s="624" t="s">
        <v>71</v>
      </c>
      <c r="K88" s="615"/>
    </row>
  </sheetData>
  <mergeCells count="84">
    <mergeCell ref="A13:H13"/>
    <mergeCell ref="A1:J1"/>
    <mergeCell ref="A3:I3"/>
    <mergeCell ref="A4:H4"/>
    <mergeCell ref="K4:L6"/>
    <mergeCell ref="A5:H5"/>
    <mergeCell ref="A6:H6"/>
    <mergeCell ref="A8:I8"/>
    <mergeCell ref="A9:I9"/>
    <mergeCell ref="A10:H10"/>
    <mergeCell ref="A11:H11"/>
    <mergeCell ref="A12:H12"/>
    <mergeCell ref="A25:H25"/>
    <mergeCell ref="A14:H14"/>
    <mergeCell ref="A15:H15"/>
    <mergeCell ref="A16:H16"/>
    <mergeCell ref="A17:H17"/>
    <mergeCell ref="A18:H18"/>
    <mergeCell ref="A19:H19"/>
    <mergeCell ref="A20:I20"/>
    <mergeCell ref="A21:H21"/>
    <mergeCell ref="A22:H22"/>
    <mergeCell ref="A23:H23"/>
    <mergeCell ref="A24:H24"/>
    <mergeCell ref="A37:H37"/>
    <mergeCell ref="A26:H26"/>
    <mergeCell ref="A27:I27"/>
    <mergeCell ref="A28:H28"/>
    <mergeCell ref="A29:H29"/>
    <mergeCell ref="A30:H30"/>
    <mergeCell ref="A31:H31"/>
    <mergeCell ref="A32:I32"/>
    <mergeCell ref="A33:H33"/>
    <mergeCell ref="A34:H34"/>
    <mergeCell ref="A35:H35"/>
    <mergeCell ref="A36:H36"/>
    <mergeCell ref="A49:H49"/>
    <mergeCell ref="A38:H38"/>
    <mergeCell ref="A39:H39"/>
    <mergeCell ref="A40:H40"/>
    <mergeCell ref="A41:H41"/>
    <mergeCell ref="A42:H42"/>
    <mergeCell ref="A43:I43"/>
    <mergeCell ref="A44:H44"/>
    <mergeCell ref="A45:H45"/>
    <mergeCell ref="A46:H46"/>
    <mergeCell ref="A47:H47"/>
    <mergeCell ref="A48:H48"/>
    <mergeCell ref="A62:H62"/>
    <mergeCell ref="A50:H50"/>
    <mergeCell ref="A51:I51"/>
    <mergeCell ref="A52:H52"/>
    <mergeCell ref="A53:H53"/>
    <mergeCell ref="A54:H54"/>
    <mergeCell ref="A55:H55"/>
    <mergeCell ref="A56:H56"/>
    <mergeCell ref="A57:H57"/>
    <mergeCell ref="A58:H58"/>
    <mergeCell ref="A60:I60"/>
    <mergeCell ref="A61:I61"/>
    <mergeCell ref="A74:H74"/>
    <mergeCell ref="A63:H63"/>
    <mergeCell ref="A64:H64"/>
    <mergeCell ref="A65:H65"/>
    <mergeCell ref="A66:H66"/>
    <mergeCell ref="A67:H67"/>
    <mergeCell ref="A68:H68"/>
    <mergeCell ref="A69:H69"/>
    <mergeCell ref="A70:I70"/>
    <mergeCell ref="A71:H71"/>
    <mergeCell ref="A72:H72"/>
    <mergeCell ref="A73:H73"/>
    <mergeCell ref="A88:H88"/>
    <mergeCell ref="A75:H75"/>
    <mergeCell ref="A76:H76"/>
    <mergeCell ref="A77:H77"/>
    <mergeCell ref="A78:H78"/>
    <mergeCell ref="A79:H79"/>
    <mergeCell ref="A81:I81"/>
    <mergeCell ref="A82:H82"/>
    <mergeCell ref="A84:I84"/>
    <mergeCell ref="A85:I85"/>
    <mergeCell ref="A86:H86"/>
    <mergeCell ref="A87:H8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BreakPreview" zoomScale="60" zoomScaleNormal="100" workbookViewId="0">
      <selection activeCell="M8" sqref="M8"/>
    </sheetView>
  </sheetViews>
  <sheetFormatPr defaultRowHeight="15" x14ac:dyDescent="0.25"/>
  <cols>
    <col min="1" max="7" width="9.140625" style="345"/>
    <col min="8" max="8" width="15.85546875" style="345" customWidth="1"/>
    <col min="9" max="9" width="9.5703125" style="345" bestFit="1" customWidth="1"/>
    <col min="10" max="17" width="9.140625" style="345"/>
    <col min="18" max="18" width="16.7109375" style="345" bestFit="1" customWidth="1"/>
    <col min="19" max="19" width="19.28515625" style="345" bestFit="1" customWidth="1"/>
    <col min="20" max="16384" width="9.140625" style="345"/>
  </cols>
  <sheetData>
    <row r="1" spans="1:10" ht="60" customHeight="1" thickBot="1" x14ac:dyDescent="0.3">
      <c r="A1" s="990" t="s">
        <v>5298</v>
      </c>
      <c r="B1" s="991"/>
      <c r="C1" s="991"/>
      <c r="D1" s="991"/>
      <c r="E1" s="991"/>
      <c r="F1" s="991"/>
      <c r="G1" s="991"/>
      <c r="H1" s="991"/>
      <c r="I1" s="991"/>
      <c r="J1" s="992"/>
    </row>
    <row r="3" spans="1:10" ht="15.75" thickBot="1" x14ac:dyDescent="0.3"/>
    <row r="4" spans="1:10" ht="18" thickBot="1" x14ac:dyDescent="0.3">
      <c r="A4" s="993" t="s">
        <v>254</v>
      </c>
      <c r="B4" s="994"/>
      <c r="C4" s="994"/>
      <c r="D4" s="994"/>
      <c r="E4" s="994"/>
      <c r="F4" s="994"/>
      <c r="G4" s="994"/>
      <c r="H4" s="994"/>
      <c r="I4" s="995"/>
    </row>
    <row r="5" spans="1:10" ht="18" thickBot="1" x14ac:dyDescent="0.3">
      <c r="A5" s="975" t="s">
        <v>255</v>
      </c>
      <c r="B5" s="976"/>
      <c r="C5" s="976"/>
      <c r="D5" s="976"/>
      <c r="E5" s="976"/>
      <c r="F5" s="976"/>
      <c r="G5" s="976"/>
      <c r="H5" s="976"/>
      <c r="I5" s="977"/>
      <c r="J5" s="103" t="s">
        <v>5</v>
      </c>
    </row>
    <row r="6" spans="1:10" ht="30" customHeight="1" x14ac:dyDescent="0.25">
      <c r="A6" s="900" t="s">
        <v>5299</v>
      </c>
      <c r="B6" s="901"/>
      <c r="C6" s="901"/>
      <c r="D6" s="901"/>
      <c r="E6" s="901"/>
      <c r="F6" s="901"/>
      <c r="G6" s="901"/>
      <c r="H6" s="901"/>
      <c r="I6" s="111">
        <f>33.81*2.95</f>
        <v>99.739500000000007</v>
      </c>
      <c r="J6" s="104" t="s">
        <v>104</v>
      </c>
    </row>
    <row r="7" spans="1:10" ht="22.5" customHeight="1" x14ac:dyDescent="0.25">
      <c r="A7" s="900" t="s">
        <v>5300</v>
      </c>
      <c r="B7" s="901"/>
      <c r="C7" s="901"/>
      <c r="D7" s="901"/>
      <c r="E7" s="901"/>
      <c r="F7" s="901"/>
      <c r="G7" s="901"/>
      <c r="H7" s="901"/>
      <c r="I7" s="111">
        <f>15.45*2.95</f>
        <v>45.577500000000001</v>
      </c>
      <c r="J7" s="343" t="s">
        <v>104</v>
      </c>
    </row>
    <row r="8" spans="1:10" ht="21.75" customHeight="1" x14ac:dyDescent="0.25">
      <c r="A8" s="900" t="s">
        <v>1125</v>
      </c>
      <c r="B8" s="901"/>
      <c r="C8" s="901"/>
      <c r="D8" s="901"/>
      <c r="E8" s="901"/>
      <c r="F8" s="901"/>
      <c r="G8" s="901"/>
      <c r="H8" s="901"/>
      <c r="I8" s="111">
        <f>(I6-I7)*1.4</f>
        <v>75.826800000000006</v>
      </c>
      <c r="J8" s="343" t="s">
        <v>104</v>
      </c>
    </row>
    <row r="9" spans="1:10" x14ac:dyDescent="0.25">
      <c r="A9" s="889" t="s">
        <v>1126</v>
      </c>
      <c r="B9" s="890"/>
      <c r="C9" s="890"/>
      <c r="D9" s="890"/>
      <c r="E9" s="890"/>
      <c r="F9" s="890"/>
      <c r="G9" s="890"/>
      <c r="H9" s="890"/>
      <c r="I9" s="342">
        <f>33.81</f>
        <v>33.81</v>
      </c>
      <c r="J9" s="343" t="s">
        <v>103</v>
      </c>
    </row>
    <row r="10" spans="1:10" x14ac:dyDescent="0.25">
      <c r="A10" s="889" t="s">
        <v>5301</v>
      </c>
      <c r="B10" s="890"/>
      <c r="C10" s="890"/>
      <c r="D10" s="890"/>
      <c r="E10" s="890"/>
      <c r="F10" s="890"/>
      <c r="G10" s="890"/>
      <c r="H10" s="890"/>
      <c r="I10" s="342">
        <f>23</f>
        <v>23</v>
      </c>
      <c r="J10" s="343" t="s">
        <v>103</v>
      </c>
    </row>
    <row r="11" spans="1:10" ht="30" customHeight="1" x14ac:dyDescent="0.25">
      <c r="A11" s="985" t="s">
        <v>1127</v>
      </c>
      <c r="B11" s="986"/>
      <c r="C11" s="986"/>
      <c r="D11" s="986"/>
      <c r="E11" s="986"/>
      <c r="F11" s="986"/>
      <c r="G11" s="986"/>
      <c r="H11" s="986"/>
      <c r="I11" s="113">
        <f>15+(5*2.85)+(3*2.85)+(5*2.85)+(3*2.85)</f>
        <v>60.599999999999994</v>
      </c>
      <c r="J11" s="343" t="s">
        <v>103</v>
      </c>
    </row>
    <row r="12" spans="1:10" ht="15" customHeight="1" x14ac:dyDescent="0.25">
      <c r="A12" s="888"/>
      <c r="B12" s="888"/>
      <c r="C12" s="888"/>
      <c r="D12" s="888"/>
      <c r="E12" s="888"/>
      <c r="F12" s="888"/>
      <c r="G12" s="888"/>
      <c r="H12" s="888"/>
      <c r="I12" s="342"/>
      <c r="J12" s="343"/>
    </row>
    <row r="13" spans="1:10" ht="15" customHeight="1" thickBot="1" x14ac:dyDescent="0.3">
      <c r="A13" s="987"/>
      <c r="B13" s="988"/>
      <c r="C13" s="988"/>
      <c r="D13" s="988"/>
      <c r="E13" s="988"/>
      <c r="F13" s="988"/>
      <c r="G13" s="988"/>
      <c r="H13" s="989"/>
      <c r="I13" s="651"/>
      <c r="J13" s="344"/>
    </row>
    <row r="14" spans="1:10" ht="15" customHeight="1" thickBot="1" x14ac:dyDescent="0.3">
      <c r="A14" s="975" t="s">
        <v>99</v>
      </c>
      <c r="B14" s="976"/>
      <c r="C14" s="976"/>
      <c r="D14" s="976"/>
      <c r="E14" s="976"/>
      <c r="F14" s="976"/>
      <c r="G14" s="976"/>
      <c r="H14" s="976"/>
      <c r="I14" s="977"/>
      <c r="J14" s="110" t="s">
        <v>5</v>
      </c>
    </row>
    <row r="15" spans="1:10" ht="15" customHeight="1" x14ac:dyDescent="0.25">
      <c r="A15" s="983" t="s">
        <v>285</v>
      </c>
      <c r="B15" s="984"/>
      <c r="C15" s="984"/>
      <c r="D15" s="984"/>
      <c r="E15" s="984"/>
      <c r="F15" s="984"/>
      <c r="G15" s="984"/>
      <c r="H15" s="984"/>
      <c r="I15" s="342">
        <f>11.25</f>
        <v>11.25</v>
      </c>
      <c r="J15" s="104" t="s">
        <v>103</v>
      </c>
    </row>
    <row r="16" spans="1:10" ht="15" customHeight="1" x14ac:dyDescent="0.25">
      <c r="A16" s="978" t="s">
        <v>1128</v>
      </c>
      <c r="B16" s="979"/>
      <c r="C16" s="979"/>
      <c r="D16" s="979"/>
      <c r="E16" s="979"/>
      <c r="F16" s="979"/>
      <c r="G16" s="979"/>
      <c r="H16" s="979"/>
      <c r="I16" s="342">
        <f>3.38</f>
        <v>3.38</v>
      </c>
      <c r="J16" s="343" t="s">
        <v>104</v>
      </c>
    </row>
    <row r="17" spans="1:10" ht="15" customHeight="1" x14ac:dyDescent="0.25">
      <c r="A17" s="978" t="s">
        <v>284</v>
      </c>
      <c r="B17" s="979"/>
      <c r="C17" s="979"/>
      <c r="D17" s="979"/>
      <c r="E17" s="979"/>
      <c r="F17" s="979"/>
      <c r="G17" s="979"/>
      <c r="H17" s="979"/>
      <c r="I17" s="342">
        <f>I16</f>
        <v>3.38</v>
      </c>
      <c r="J17" s="343" t="s">
        <v>104</v>
      </c>
    </row>
    <row r="18" spans="1:10" ht="15" customHeight="1" x14ac:dyDescent="0.25">
      <c r="A18" s="978" t="s">
        <v>1131</v>
      </c>
      <c r="B18" s="979"/>
      <c r="C18" s="979"/>
      <c r="D18" s="979"/>
      <c r="E18" s="979"/>
      <c r="F18" s="979"/>
      <c r="G18" s="979"/>
      <c r="H18" s="979"/>
      <c r="I18" s="342" t="s">
        <v>5302</v>
      </c>
      <c r="J18" s="343" t="s">
        <v>71</v>
      </c>
    </row>
    <row r="19" spans="1:10" ht="15" customHeight="1" x14ac:dyDescent="0.25">
      <c r="A19" s="978" t="s">
        <v>292</v>
      </c>
      <c r="B19" s="979"/>
      <c r="C19" s="979"/>
      <c r="D19" s="979"/>
      <c r="E19" s="979"/>
      <c r="F19" s="979"/>
      <c r="G19" s="979"/>
      <c r="H19" s="979"/>
      <c r="I19" s="342">
        <f>71+69+72.2+64</f>
        <v>276.2</v>
      </c>
      <c r="J19" s="343" t="s">
        <v>71</v>
      </c>
    </row>
    <row r="20" spans="1:10" ht="15" customHeight="1" thickBot="1" x14ac:dyDescent="0.3">
      <c r="A20" s="978"/>
      <c r="B20" s="979"/>
      <c r="C20" s="979"/>
      <c r="D20" s="979"/>
      <c r="E20" s="979"/>
      <c r="F20" s="979"/>
      <c r="G20" s="979"/>
      <c r="H20" s="979"/>
      <c r="I20" s="342"/>
      <c r="J20" s="343"/>
    </row>
    <row r="21" spans="1:10" ht="18" thickBot="1" x14ac:dyDescent="0.3">
      <c r="A21" s="975" t="s">
        <v>5303</v>
      </c>
      <c r="B21" s="976"/>
      <c r="C21" s="976"/>
      <c r="D21" s="976"/>
      <c r="E21" s="976"/>
      <c r="F21" s="976"/>
      <c r="G21" s="976"/>
      <c r="H21" s="976"/>
      <c r="I21" s="977"/>
      <c r="J21" s="101" t="s">
        <v>5</v>
      </c>
    </row>
    <row r="22" spans="1:10" x14ac:dyDescent="0.25">
      <c r="A22" s="983" t="s">
        <v>285</v>
      </c>
      <c r="B22" s="984"/>
      <c r="C22" s="984"/>
      <c r="D22" s="984"/>
      <c r="E22" s="984"/>
      <c r="F22" s="984"/>
      <c r="G22" s="984"/>
      <c r="H22" s="984"/>
      <c r="I22" s="111">
        <f>10.56</f>
        <v>10.56</v>
      </c>
      <c r="J22" s="104" t="s">
        <v>103</v>
      </c>
    </row>
    <row r="23" spans="1:10" x14ac:dyDescent="0.25">
      <c r="A23" s="978" t="s">
        <v>1128</v>
      </c>
      <c r="B23" s="979"/>
      <c r="C23" s="979"/>
      <c r="D23" s="979"/>
      <c r="E23" s="979"/>
      <c r="F23" s="979"/>
      <c r="G23" s="979"/>
      <c r="H23" s="979"/>
      <c r="I23" s="342">
        <f>3.7</f>
        <v>3.7</v>
      </c>
      <c r="J23" s="343" t="s">
        <v>104</v>
      </c>
    </row>
    <row r="24" spans="1:10" x14ac:dyDescent="0.25">
      <c r="A24" s="978" t="s">
        <v>284</v>
      </c>
      <c r="B24" s="979"/>
      <c r="C24" s="979"/>
      <c r="D24" s="979"/>
      <c r="E24" s="979"/>
      <c r="F24" s="979"/>
      <c r="G24" s="979"/>
      <c r="H24" s="979"/>
      <c r="I24" s="342">
        <f>I23</f>
        <v>3.7</v>
      </c>
      <c r="J24" s="343" t="s">
        <v>104</v>
      </c>
    </row>
    <row r="25" spans="1:10" x14ac:dyDescent="0.25">
      <c r="A25" s="978" t="s">
        <v>1131</v>
      </c>
      <c r="B25" s="979"/>
      <c r="C25" s="979"/>
      <c r="D25" s="979"/>
      <c r="E25" s="979"/>
      <c r="F25" s="979"/>
      <c r="G25" s="979"/>
      <c r="H25" s="979"/>
      <c r="I25" s="342" t="s">
        <v>5302</v>
      </c>
      <c r="J25" s="343" t="s">
        <v>71</v>
      </c>
    </row>
    <row r="26" spans="1:10" x14ac:dyDescent="0.25">
      <c r="A26" s="978" t="s">
        <v>1118</v>
      </c>
      <c r="B26" s="979"/>
      <c r="C26" s="979"/>
      <c r="D26" s="979"/>
      <c r="E26" s="979"/>
      <c r="F26" s="979"/>
      <c r="G26" s="979"/>
      <c r="H26" s="979"/>
      <c r="I26" s="342">
        <v>802.56</v>
      </c>
      <c r="J26" s="343" t="s">
        <v>71</v>
      </c>
    </row>
    <row r="27" spans="1:10" ht="15.75" thickBot="1" x14ac:dyDescent="0.3">
      <c r="A27" s="978" t="s">
        <v>293</v>
      </c>
      <c r="B27" s="979"/>
      <c r="C27" s="979"/>
      <c r="D27" s="979"/>
      <c r="E27" s="979"/>
      <c r="F27" s="979"/>
      <c r="G27" s="979"/>
      <c r="H27" s="979"/>
      <c r="I27" s="342" t="s">
        <v>5302</v>
      </c>
      <c r="J27" s="343" t="s">
        <v>71</v>
      </c>
    </row>
    <row r="28" spans="1:10" ht="18" thickBot="1" x14ac:dyDescent="0.3">
      <c r="A28" s="980" t="s">
        <v>1130</v>
      </c>
      <c r="B28" s="981"/>
      <c r="C28" s="981"/>
      <c r="D28" s="981"/>
      <c r="E28" s="981"/>
      <c r="F28" s="981"/>
      <c r="G28" s="981"/>
      <c r="H28" s="981"/>
      <c r="I28" s="982"/>
      <c r="J28" s="101" t="s">
        <v>5</v>
      </c>
    </row>
    <row r="29" spans="1:10" x14ac:dyDescent="0.25">
      <c r="A29" s="920" t="s">
        <v>290</v>
      </c>
      <c r="B29" s="921"/>
      <c r="C29" s="921"/>
      <c r="D29" s="921"/>
      <c r="E29" s="921"/>
      <c r="F29" s="921"/>
      <c r="G29" s="921"/>
      <c r="H29" s="921"/>
      <c r="I29" s="111">
        <f>11.76+5.88+100.32+3.12+3.14</f>
        <v>124.22</v>
      </c>
      <c r="J29" s="104" t="s">
        <v>103</v>
      </c>
    </row>
    <row r="30" spans="1:10" x14ac:dyDescent="0.25">
      <c r="A30" s="889" t="s">
        <v>1128</v>
      </c>
      <c r="B30" s="890"/>
      <c r="C30" s="890"/>
      <c r="D30" s="890"/>
      <c r="E30" s="890"/>
      <c r="F30" s="890"/>
      <c r="G30" s="890"/>
      <c r="H30" s="890"/>
      <c r="I30" s="342">
        <f>10.03</f>
        <v>10.029999999999999</v>
      </c>
      <c r="J30" s="343" t="s">
        <v>104</v>
      </c>
    </row>
    <row r="31" spans="1:10" x14ac:dyDescent="0.25">
      <c r="A31" s="889" t="s">
        <v>284</v>
      </c>
      <c r="B31" s="890"/>
      <c r="C31" s="890"/>
      <c r="D31" s="890"/>
      <c r="E31" s="890"/>
      <c r="F31" s="890"/>
      <c r="G31" s="890"/>
      <c r="H31" s="890"/>
      <c r="I31" s="342">
        <f>I30</f>
        <v>10.029999999999999</v>
      </c>
      <c r="J31" s="343" t="s">
        <v>104</v>
      </c>
    </row>
    <row r="32" spans="1:10" x14ac:dyDescent="0.25">
      <c r="A32" s="889" t="s">
        <v>1131</v>
      </c>
      <c r="B32" s="890"/>
      <c r="C32" s="890"/>
      <c r="D32" s="890"/>
      <c r="E32" s="890"/>
      <c r="F32" s="890"/>
      <c r="G32" s="890"/>
      <c r="H32" s="890"/>
      <c r="I32" s="342">
        <f>250</f>
        <v>250</v>
      </c>
      <c r="J32" s="343" t="s">
        <v>71</v>
      </c>
    </row>
    <row r="33" spans="1:10" x14ac:dyDescent="0.25">
      <c r="A33" s="889" t="s">
        <v>1118</v>
      </c>
      <c r="B33" s="890"/>
      <c r="C33" s="890"/>
      <c r="D33" s="890"/>
      <c r="E33" s="890"/>
      <c r="F33" s="890"/>
      <c r="G33" s="890"/>
      <c r="H33" s="890"/>
      <c r="I33" s="342">
        <v>582</v>
      </c>
      <c r="J33" s="343" t="s">
        <v>71</v>
      </c>
    </row>
    <row r="34" spans="1:10" x14ac:dyDescent="0.25">
      <c r="A34" s="889" t="s">
        <v>293</v>
      </c>
      <c r="B34" s="890"/>
      <c r="C34" s="890"/>
      <c r="D34" s="890"/>
      <c r="E34" s="890"/>
      <c r="F34" s="890"/>
      <c r="G34" s="890"/>
      <c r="H34" s="890"/>
      <c r="I34" s="114">
        <v>119.6</v>
      </c>
      <c r="J34" s="343" t="s">
        <v>71</v>
      </c>
    </row>
    <row r="35" spans="1:10" x14ac:dyDescent="0.25">
      <c r="A35" s="889" t="s">
        <v>1132</v>
      </c>
      <c r="B35" s="890"/>
      <c r="C35" s="890"/>
      <c r="D35" s="890"/>
      <c r="E35" s="890"/>
      <c r="F35" s="890"/>
      <c r="G35" s="890"/>
      <c r="H35" s="890"/>
      <c r="I35" s="114">
        <f>141.7</f>
        <v>141.69999999999999</v>
      </c>
      <c r="J35" s="343" t="s">
        <v>71</v>
      </c>
    </row>
    <row r="36" spans="1:10" ht="15.75" thickBot="1" x14ac:dyDescent="0.3">
      <c r="A36" s="889" t="s">
        <v>1133</v>
      </c>
      <c r="B36" s="890"/>
      <c r="C36" s="890"/>
      <c r="D36" s="890"/>
      <c r="E36" s="890"/>
      <c r="F36" s="890"/>
      <c r="G36" s="890"/>
      <c r="H36" s="890"/>
      <c r="I36" s="115">
        <f>117.24</f>
        <v>117.24</v>
      </c>
      <c r="J36" s="343" t="s">
        <v>71</v>
      </c>
    </row>
    <row r="37" spans="1:10" ht="15.75" thickBot="1" x14ac:dyDescent="0.3">
      <c r="A37" s="889" t="s">
        <v>1134</v>
      </c>
      <c r="B37" s="890"/>
      <c r="C37" s="890"/>
      <c r="D37" s="890"/>
      <c r="E37" s="890"/>
      <c r="F37" s="890"/>
      <c r="G37" s="890"/>
      <c r="H37" s="890"/>
      <c r="I37" s="112">
        <f>11.1*0.963</f>
        <v>10.689299999999999</v>
      </c>
      <c r="J37" s="343" t="s">
        <v>71</v>
      </c>
    </row>
    <row r="38" spans="1:10" ht="15.75" thickBot="1" x14ac:dyDescent="0.3">
      <c r="A38" s="100"/>
      <c r="B38" s="100"/>
      <c r="C38" s="100"/>
      <c r="D38" s="100"/>
      <c r="E38" s="100"/>
      <c r="F38" s="100"/>
      <c r="G38" s="100"/>
      <c r="H38" s="100"/>
    </row>
    <row r="39" spans="1:10" ht="18" thickBot="1" x14ac:dyDescent="0.3">
      <c r="A39" s="972" t="s">
        <v>257</v>
      </c>
      <c r="B39" s="973"/>
      <c r="C39" s="973"/>
      <c r="D39" s="973"/>
      <c r="E39" s="973"/>
      <c r="F39" s="973"/>
      <c r="G39" s="973"/>
      <c r="H39" s="973"/>
      <c r="I39" s="974"/>
    </row>
    <row r="40" spans="1:10" ht="18" thickBot="1" x14ac:dyDescent="0.3">
      <c r="A40" s="975" t="s">
        <v>258</v>
      </c>
      <c r="B40" s="976"/>
      <c r="C40" s="976"/>
      <c r="D40" s="976"/>
      <c r="E40" s="976"/>
      <c r="F40" s="976"/>
      <c r="G40" s="976"/>
      <c r="H40" s="976"/>
      <c r="I40" s="977"/>
      <c r="J40" s="101" t="s">
        <v>5</v>
      </c>
    </row>
    <row r="41" spans="1:10" x14ac:dyDescent="0.25">
      <c r="A41" s="920" t="s">
        <v>290</v>
      </c>
      <c r="B41" s="921"/>
      <c r="C41" s="921"/>
      <c r="D41" s="921"/>
      <c r="E41" s="921"/>
      <c r="F41" s="921"/>
      <c r="G41" s="921"/>
      <c r="H41" s="921"/>
      <c r="I41" s="111">
        <f>8.4</f>
        <v>8.4</v>
      </c>
      <c r="J41" s="104" t="s">
        <v>103</v>
      </c>
    </row>
    <row r="42" spans="1:10" x14ac:dyDescent="0.25">
      <c r="A42" s="889" t="s">
        <v>286</v>
      </c>
      <c r="B42" s="890"/>
      <c r="C42" s="890"/>
      <c r="D42" s="890"/>
      <c r="E42" s="890"/>
      <c r="F42" s="890"/>
      <c r="G42" s="890"/>
      <c r="H42" s="890"/>
      <c r="I42" s="342">
        <f>0.52</f>
        <v>0.52</v>
      </c>
      <c r="J42" s="343" t="s">
        <v>104</v>
      </c>
    </row>
    <row r="43" spans="1:10" x14ac:dyDescent="0.25">
      <c r="A43" s="889" t="s">
        <v>284</v>
      </c>
      <c r="B43" s="890"/>
      <c r="C43" s="890"/>
      <c r="D43" s="890"/>
      <c r="E43" s="890"/>
      <c r="F43" s="890"/>
      <c r="G43" s="890"/>
      <c r="H43" s="890"/>
      <c r="I43" s="342">
        <f>I42</f>
        <v>0.52</v>
      </c>
      <c r="J43" s="343" t="s">
        <v>104</v>
      </c>
    </row>
    <row r="44" spans="1:10" x14ac:dyDescent="0.25">
      <c r="A44" s="889" t="s">
        <v>287</v>
      </c>
      <c r="B44" s="890"/>
      <c r="C44" s="890"/>
      <c r="D44" s="890"/>
      <c r="E44" s="890"/>
      <c r="F44" s="890"/>
      <c r="G44" s="890"/>
      <c r="H44" s="890"/>
      <c r="I44" s="342">
        <f>60</f>
        <v>60</v>
      </c>
      <c r="J44" s="343" t="s">
        <v>71</v>
      </c>
    </row>
    <row r="45" spans="1:10" ht="15.75" thickBot="1" x14ac:dyDescent="0.3">
      <c r="A45" s="889" t="s">
        <v>288</v>
      </c>
      <c r="B45" s="890"/>
      <c r="C45" s="890"/>
      <c r="D45" s="890"/>
      <c r="E45" s="890"/>
      <c r="F45" s="890"/>
      <c r="G45" s="890"/>
      <c r="H45" s="890"/>
      <c r="I45" s="114">
        <f>19</f>
        <v>19</v>
      </c>
      <c r="J45" s="343" t="s">
        <v>71</v>
      </c>
    </row>
    <row r="46" spans="1:10" ht="18" thickBot="1" x14ac:dyDescent="0.3">
      <c r="A46" s="975" t="s">
        <v>1135</v>
      </c>
      <c r="B46" s="976"/>
      <c r="C46" s="976"/>
      <c r="D46" s="976"/>
      <c r="E46" s="976"/>
      <c r="F46" s="976"/>
      <c r="G46" s="976"/>
      <c r="H46" s="976"/>
      <c r="I46" s="977"/>
      <c r="J46" s="101" t="s">
        <v>5</v>
      </c>
    </row>
    <row r="47" spans="1:10" x14ac:dyDescent="0.25">
      <c r="A47" s="920" t="s">
        <v>290</v>
      </c>
      <c r="B47" s="921"/>
      <c r="C47" s="921"/>
      <c r="D47" s="921"/>
      <c r="E47" s="921"/>
      <c r="F47" s="921"/>
      <c r="G47" s="921"/>
      <c r="H47" s="921"/>
      <c r="I47" s="111">
        <f>2.34+12.48</f>
        <v>14.82</v>
      </c>
      <c r="J47" s="104" t="s">
        <v>103</v>
      </c>
    </row>
    <row r="48" spans="1:10" x14ac:dyDescent="0.25">
      <c r="A48" s="889" t="s">
        <v>286</v>
      </c>
      <c r="B48" s="890"/>
      <c r="C48" s="890"/>
      <c r="D48" s="890"/>
      <c r="E48" s="890"/>
      <c r="F48" s="890"/>
      <c r="G48" s="890"/>
      <c r="H48" s="890"/>
      <c r="I48" s="342">
        <v>1.06</v>
      </c>
      <c r="J48" s="343" t="s">
        <v>104</v>
      </c>
    </row>
    <row r="49" spans="1:12" x14ac:dyDescent="0.25">
      <c r="A49" s="889" t="s">
        <v>284</v>
      </c>
      <c r="B49" s="890"/>
      <c r="C49" s="890"/>
      <c r="D49" s="890"/>
      <c r="E49" s="890"/>
      <c r="F49" s="890"/>
      <c r="G49" s="890"/>
      <c r="H49" s="890"/>
      <c r="I49" s="342">
        <f>I48</f>
        <v>1.06</v>
      </c>
      <c r="J49" s="343" t="s">
        <v>104</v>
      </c>
    </row>
    <row r="50" spans="1:12" x14ac:dyDescent="0.25">
      <c r="A50" s="889" t="s">
        <v>287</v>
      </c>
      <c r="B50" s="890"/>
      <c r="C50" s="890"/>
      <c r="D50" s="890"/>
      <c r="E50" s="890"/>
      <c r="F50" s="890"/>
      <c r="G50" s="890"/>
      <c r="H50" s="890"/>
      <c r="I50" s="342">
        <f>16.7</f>
        <v>16.7</v>
      </c>
      <c r="J50" s="343" t="s">
        <v>71</v>
      </c>
      <c r="L50" s="99"/>
    </row>
    <row r="51" spans="1:12" x14ac:dyDescent="0.25">
      <c r="A51" s="889"/>
      <c r="B51" s="890"/>
      <c r="C51" s="890"/>
      <c r="D51" s="890"/>
      <c r="E51" s="890"/>
      <c r="F51" s="890"/>
      <c r="G51" s="890"/>
      <c r="H51" s="890"/>
      <c r="I51" s="342"/>
      <c r="J51" s="343"/>
    </row>
    <row r="52" spans="1:12" x14ac:dyDescent="0.25">
      <c r="A52" s="889" t="s">
        <v>292</v>
      </c>
      <c r="B52" s="890"/>
      <c r="C52" s="890"/>
      <c r="D52" s="890"/>
      <c r="E52" s="890"/>
      <c r="F52" s="890"/>
      <c r="G52" s="890"/>
      <c r="H52" s="890"/>
      <c r="I52" s="114">
        <f>10.2</f>
        <v>10.199999999999999</v>
      </c>
      <c r="J52" s="343" t="s">
        <v>71</v>
      </c>
    </row>
    <row r="53" spans="1:12" ht="15.75" thickBot="1" x14ac:dyDescent="0.3">
      <c r="A53" s="902" t="s">
        <v>288</v>
      </c>
      <c r="B53" s="903"/>
      <c r="C53" s="903"/>
      <c r="D53" s="903"/>
      <c r="E53" s="903"/>
      <c r="F53" s="903"/>
      <c r="G53" s="903"/>
      <c r="H53" s="903"/>
      <c r="I53" s="115">
        <f>26.2</f>
        <v>26.2</v>
      </c>
      <c r="J53" s="344" t="s">
        <v>71</v>
      </c>
    </row>
    <row r="54" spans="1:12" ht="15.75" thickBot="1" x14ac:dyDescent="0.3">
      <c r="A54" s="902" t="s">
        <v>293</v>
      </c>
      <c r="B54" s="903"/>
      <c r="C54" s="903"/>
      <c r="D54" s="903"/>
      <c r="E54" s="903"/>
      <c r="F54" s="903"/>
      <c r="G54" s="903"/>
      <c r="H54" s="903"/>
      <c r="I54" s="115"/>
      <c r="J54" s="344" t="s">
        <v>71</v>
      </c>
    </row>
    <row r="55" spans="1:12" ht="18" thickBot="1" x14ac:dyDescent="0.3">
      <c r="A55" s="975" t="s">
        <v>5304</v>
      </c>
      <c r="B55" s="976"/>
      <c r="C55" s="976"/>
      <c r="D55" s="976"/>
      <c r="E55" s="976"/>
      <c r="F55" s="976"/>
      <c r="G55" s="976"/>
      <c r="H55" s="976"/>
      <c r="I55" s="977"/>
      <c r="J55" s="101" t="s">
        <v>5</v>
      </c>
    </row>
    <row r="56" spans="1:12" x14ac:dyDescent="0.25">
      <c r="A56" s="920" t="s">
        <v>290</v>
      </c>
      <c r="B56" s="921"/>
      <c r="C56" s="921"/>
      <c r="D56" s="921"/>
      <c r="E56" s="921"/>
      <c r="F56" s="921"/>
      <c r="G56" s="921"/>
      <c r="H56" s="921"/>
      <c r="I56" s="111">
        <f>13.9</f>
        <v>13.9</v>
      </c>
      <c r="J56" s="104" t="s">
        <v>103</v>
      </c>
    </row>
    <row r="57" spans="1:12" x14ac:dyDescent="0.25">
      <c r="A57" s="889" t="s">
        <v>286</v>
      </c>
      <c r="B57" s="890"/>
      <c r="C57" s="890"/>
      <c r="D57" s="890"/>
      <c r="E57" s="890"/>
      <c r="F57" s="890"/>
      <c r="G57" s="890"/>
      <c r="H57" s="890"/>
      <c r="I57" s="111">
        <f>1.06</f>
        <v>1.06</v>
      </c>
      <c r="J57" s="343" t="s">
        <v>104</v>
      </c>
    </row>
    <row r="58" spans="1:12" x14ac:dyDescent="0.25">
      <c r="A58" s="889" t="s">
        <v>284</v>
      </c>
      <c r="B58" s="890"/>
      <c r="C58" s="890"/>
      <c r="D58" s="890"/>
      <c r="E58" s="890"/>
      <c r="F58" s="890"/>
      <c r="G58" s="890"/>
      <c r="H58" s="890"/>
      <c r="I58" s="111">
        <f>I57</f>
        <v>1.06</v>
      </c>
      <c r="J58" s="343" t="s">
        <v>104</v>
      </c>
    </row>
    <row r="59" spans="1:12" x14ac:dyDescent="0.25">
      <c r="A59" s="889" t="s">
        <v>292</v>
      </c>
      <c r="B59" s="890"/>
      <c r="C59" s="890"/>
      <c r="D59" s="890"/>
      <c r="E59" s="890"/>
      <c r="F59" s="890"/>
      <c r="G59" s="890"/>
      <c r="H59" s="890"/>
      <c r="I59" s="111">
        <f>50.2+46.5+45.3+53</f>
        <v>195</v>
      </c>
      <c r="J59" s="343" t="s">
        <v>71</v>
      </c>
    </row>
    <row r="60" spans="1:12" ht="15.75" thickBot="1" x14ac:dyDescent="0.3">
      <c r="A60" s="902"/>
      <c r="B60" s="903"/>
      <c r="C60" s="903"/>
      <c r="D60" s="903"/>
      <c r="E60" s="903"/>
      <c r="F60" s="903"/>
      <c r="G60" s="903"/>
      <c r="H60" s="903"/>
      <c r="I60" s="111"/>
      <c r="J60" s="344"/>
    </row>
    <row r="61" spans="1:12" ht="15.75" thickBot="1" x14ac:dyDescent="0.3"/>
    <row r="62" spans="1:12" ht="18" thickBot="1" x14ac:dyDescent="0.3">
      <c r="A62" s="972" t="s">
        <v>294</v>
      </c>
      <c r="B62" s="973"/>
      <c r="C62" s="973"/>
      <c r="D62" s="973"/>
      <c r="E62" s="973"/>
      <c r="F62" s="973"/>
      <c r="G62" s="973"/>
      <c r="H62" s="973"/>
      <c r="I62" s="974"/>
    </row>
    <row r="63" spans="1:12" ht="18" thickBot="1" x14ac:dyDescent="0.3">
      <c r="A63" s="975" t="s">
        <v>62</v>
      </c>
      <c r="B63" s="976"/>
      <c r="C63" s="976"/>
      <c r="D63" s="976"/>
      <c r="E63" s="976"/>
      <c r="F63" s="976"/>
      <c r="G63" s="976"/>
      <c r="H63" s="976"/>
      <c r="I63" s="977"/>
      <c r="J63" s="101" t="s">
        <v>5</v>
      </c>
    </row>
    <row r="64" spans="1:12" x14ac:dyDescent="0.25">
      <c r="A64" s="920" t="s">
        <v>260</v>
      </c>
      <c r="B64" s="921"/>
      <c r="C64" s="921"/>
      <c r="D64" s="921"/>
      <c r="E64" s="921"/>
      <c r="F64" s="921"/>
      <c r="G64" s="921"/>
      <c r="H64" s="921"/>
      <c r="I64" s="111">
        <f>299.15+4.52</f>
        <v>303.66999999999996</v>
      </c>
      <c r="J64" s="343" t="s">
        <v>71</v>
      </c>
    </row>
    <row r="65" spans="1:10" x14ac:dyDescent="0.25">
      <c r="A65" s="889" t="s">
        <v>261</v>
      </c>
      <c r="B65" s="890"/>
      <c r="C65" s="890"/>
      <c r="D65" s="890"/>
      <c r="E65" s="890"/>
      <c r="F65" s="890"/>
      <c r="G65" s="890"/>
      <c r="H65" s="890"/>
      <c r="I65" s="342">
        <v>36.4</v>
      </c>
      <c r="J65" s="343" t="s">
        <v>103</v>
      </c>
    </row>
    <row r="66" spans="1:10" ht="15.75" thickBot="1" x14ac:dyDescent="0.3">
      <c r="A66" s="902" t="s">
        <v>262</v>
      </c>
      <c r="B66" s="903"/>
      <c r="C66" s="903"/>
      <c r="D66" s="903"/>
      <c r="E66" s="903"/>
      <c r="F66" s="903"/>
      <c r="G66" s="903"/>
      <c r="H66" s="903"/>
      <c r="I66" s="342">
        <f>6.82</f>
        <v>6.82</v>
      </c>
      <c r="J66" s="343" t="s">
        <v>71</v>
      </c>
    </row>
  </sheetData>
  <mergeCells count="62">
    <mergeCell ref="A8:H8"/>
    <mergeCell ref="A1:J1"/>
    <mergeCell ref="A4:I4"/>
    <mergeCell ref="A5:I5"/>
    <mergeCell ref="A6:H6"/>
    <mergeCell ref="A7:H7"/>
    <mergeCell ref="A20:H20"/>
    <mergeCell ref="A9:H9"/>
    <mergeCell ref="A10:H10"/>
    <mergeCell ref="A11:H11"/>
    <mergeCell ref="A12:H12"/>
    <mergeCell ref="A13:H13"/>
    <mergeCell ref="A14:I14"/>
    <mergeCell ref="A15:H15"/>
    <mergeCell ref="A16:H16"/>
    <mergeCell ref="A17:H17"/>
    <mergeCell ref="A18:H18"/>
    <mergeCell ref="A19:H19"/>
    <mergeCell ref="A32:H32"/>
    <mergeCell ref="A21:I21"/>
    <mergeCell ref="A22:H22"/>
    <mergeCell ref="A23:H23"/>
    <mergeCell ref="A24:H24"/>
    <mergeCell ref="A25:H25"/>
    <mergeCell ref="A26:H26"/>
    <mergeCell ref="A27:H27"/>
    <mergeCell ref="A28:I28"/>
    <mergeCell ref="A29:H29"/>
    <mergeCell ref="A30:H30"/>
    <mergeCell ref="A31:H31"/>
    <mergeCell ref="A45:H45"/>
    <mergeCell ref="A33:H33"/>
    <mergeCell ref="A34:H34"/>
    <mergeCell ref="A35:H35"/>
    <mergeCell ref="A36:H36"/>
    <mergeCell ref="A37:H37"/>
    <mergeCell ref="A39:I39"/>
    <mergeCell ref="A40:I40"/>
    <mergeCell ref="A41:H41"/>
    <mergeCell ref="A42:H42"/>
    <mergeCell ref="A43:H43"/>
    <mergeCell ref="A44:H44"/>
    <mergeCell ref="A57:H57"/>
    <mergeCell ref="A46:I46"/>
    <mergeCell ref="A47:H47"/>
    <mergeCell ref="A48:H48"/>
    <mergeCell ref="A49:H49"/>
    <mergeCell ref="A50:H50"/>
    <mergeCell ref="A51:H51"/>
    <mergeCell ref="A52:H52"/>
    <mergeCell ref="A53:H53"/>
    <mergeCell ref="A54:H54"/>
    <mergeCell ref="A55:I55"/>
    <mergeCell ref="A56:H56"/>
    <mergeCell ref="A65:H65"/>
    <mergeCell ref="A66:H66"/>
    <mergeCell ref="A58:H58"/>
    <mergeCell ref="A59:H59"/>
    <mergeCell ref="A60:H60"/>
    <mergeCell ref="A62:I62"/>
    <mergeCell ref="A63:I63"/>
    <mergeCell ref="A64:H64"/>
  </mergeCells>
  <pageMargins left="0.511811024" right="0.511811024" top="0.78740157499999996" bottom="0.78740157499999996" header="0.31496062000000002" footer="0.31496062000000002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4"/>
  <sheetViews>
    <sheetView view="pageBreakPreview" topLeftCell="A10" zoomScale="60" zoomScaleNormal="100" workbookViewId="0">
      <selection activeCell="A18" sqref="A18:I18"/>
    </sheetView>
  </sheetViews>
  <sheetFormatPr defaultRowHeight="15" x14ac:dyDescent="0.25"/>
  <cols>
    <col min="1" max="7" width="9.140625" style="345"/>
    <col min="8" max="8" width="15.85546875" style="345" customWidth="1"/>
    <col min="9" max="9" width="9.5703125" style="345" bestFit="1" customWidth="1"/>
    <col min="10" max="17" width="9.140625" style="345"/>
    <col min="18" max="18" width="16.7109375" style="345" bestFit="1" customWidth="1"/>
    <col min="19" max="19" width="19.28515625" style="345" bestFit="1" customWidth="1"/>
    <col min="20" max="16384" width="9.140625" style="345"/>
  </cols>
  <sheetData>
    <row r="1" spans="1:19" ht="60" customHeight="1" thickBot="1" x14ac:dyDescent="0.3">
      <c r="A1" s="990" t="s">
        <v>5305</v>
      </c>
      <c r="B1" s="991"/>
      <c r="C1" s="991"/>
      <c r="D1" s="991"/>
      <c r="E1" s="991"/>
      <c r="F1" s="991"/>
      <c r="G1" s="991"/>
      <c r="H1" s="991"/>
      <c r="I1" s="991"/>
      <c r="J1" s="992"/>
    </row>
    <row r="3" spans="1:19" ht="15.75" thickBot="1" x14ac:dyDescent="0.3"/>
    <row r="4" spans="1:19" ht="19.5" thickBot="1" x14ac:dyDescent="0.3">
      <c r="A4" s="993" t="s">
        <v>254</v>
      </c>
      <c r="B4" s="994"/>
      <c r="C4" s="994"/>
      <c r="D4" s="994"/>
      <c r="E4" s="994"/>
      <c r="F4" s="994"/>
      <c r="G4" s="994"/>
      <c r="H4" s="994"/>
      <c r="I4" s="995"/>
      <c r="L4" s="1005" t="s">
        <v>271</v>
      </c>
      <c r="M4" s="1006"/>
      <c r="N4" s="1006"/>
      <c r="O4" s="1006"/>
      <c r="P4" s="1006"/>
      <c r="Q4" s="1006"/>
      <c r="R4" s="1006"/>
      <c r="S4" s="1007"/>
    </row>
    <row r="5" spans="1:19" ht="18" thickBot="1" x14ac:dyDescent="0.3">
      <c r="A5" s="975" t="s">
        <v>255</v>
      </c>
      <c r="B5" s="976"/>
      <c r="C5" s="976"/>
      <c r="D5" s="976"/>
      <c r="E5" s="976"/>
      <c r="F5" s="976"/>
      <c r="G5" s="976"/>
      <c r="H5" s="976"/>
      <c r="I5" s="977"/>
      <c r="J5" s="103" t="s">
        <v>5</v>
      </c>
      <c r="L5" s="1008" t="s">
        <v>5306</v>
      </c>
      <c r="M5" s="1009"/>
      <c r="N5" s="1009"/>
      <c r="O5" s="1009"/>
      <c r="P5" s="1009"/>
      <c r="Q5" s="1009"/>
      <c r="R5" s="1009"/>
      <c r="S5" s="1009"/>
    </row>
    <row r="6" spans="1:19" ht="48.75" customHeight="1" x14ac:dyDescent="0.25">
      <c r="A6" s="900" t="s">
        <v>5307</v>
      </c>
      <c r="B6" s="901"/>
      <c r="C6" s="901"/>
      <c r="D6" s="901"/>
      <c r="E6" s="901"/>
      <c r="F6" s="901"/>
      <c r="G6" s="901"/>
      <c r="H6" s="901"/>
      <c r="I6" s="111">
        <f>R8+R11</f>
        <v>43.654300000000006</v>
      </c>
      <c r="J6" s="104" t="s">
        <v>104</v>
      </c>
      <c r="L6" s="1002" t="s">
        <v>5308</v>
      </c>
      <c r="M6" s="1003"/>
      <c r="N6" s="1003"/>
      <c r="O6" s="1003"/>
      <c r="P6" s="1003"/>
      <c r="Q6" s="1003"/>
      <c r="R6" s="1003"/>
      <c r="S6" s="1004"/>
    </row>
    <row r="7" spans="1:19" ht="45" customHeight="1" x14ac:dyDescent="0.25">
      <c r="A7" s="887"/>
      <c r="B7" s="888"/>
      <c r="C7" s="888"/>
      <c r="D7" s="888"/>
      <c r="E7" s="888"/>
      <c r="F7" s="888"/>
      <c r="G7" s="888"/>
      <c r="H7" s="888"/>
      <c r="I7" s="652"/>
      <c r="J7" s="343"/>
      <c r="L7" s="105" t="s">
        <v>102</v>
      </c>
      <c r="M7" s="106" t="s">
        <v>273</v>
      </c>
      <c r="N7" s="106" t="s">
        <v>274</v>
      </c>
      <c r="O7" s="106" t="s">
        <v>275</v>
      </c>
      <c r="P7" s="106" t="s">
        <v>1121</v>
      </c>
      <c r="Q7" s="106" t="s">
        <v>276</v>
      </c>
      <c r="R7" s="106" t="s">
        <v>150</v>
      </c>
      <c r="S7" s="106" t="s">
        <v>151</v>
      </c>
    </row>
    <row r="8" spans="1:19" ht="40.5" customHeight="1" x14ac:dyDescent="0.25">
      <c r="A8" s="900" t="s">
        <v>5309</v>
      </c>
      <c r="B8" s="901"/>
      <c r="C8" s="901"/>
      <c r="D8" s="901"/>
      <c r="E8" s="901"/>
      <c r="F8" s="901"/>
      <c r="G8" s="901"/>
      <c r="H8" s="901"/>
      <c r="I8" s="111">
        <f>I6-I20-I28</f>
        <v>33.794300000000007</v>
      </c>
      <c r="J8" s="343" t="s">
        <v>104</v>
      </c>
      <c r="L8" s="107">
        <v>11</v>
      </c>
      <c r="M8" s="108">
        <v>1.3</v>
      </c>
      <c r="N8" s="108">
        <v>1.3</v>
      </c>
      <c r="O8" s="109">
        <f>M8*N8</f>
        <v>1.6900000000000002</v>
      </c>
      <c r="P8" s="108">
        <v>0.45</v>
      </c>
      <c r="Q8" s="108">
        <v>0.4</v>
      </c>
      <c r="R8" s="109">
        <f>O8*(P8+Q8)*L8</f>
        <v>15.801500000000004</v>
      </c>
      <c r="S8" s="109">
        <f>O8*L8</f>
        <v>18.590000000000003</v>
      </c>
    </row>
    <row r="9" spans="1:19" ht="34.5" customHeight="1" x14ac:dyDescent="0.25">
      <c r="A9" s="900" t="s">
        <v>5310</v>
      </c>
      <c r="B9" s="901"/>
      <c r="C9" s="901"/>
      <c r="D9" s="901"/>
      <c r="E9" s="901"/>
      <c r="F9" s="901"/>
      <c r="G9" s="901"/>
      <c r="H9" s="901"/>
      <c r="I9" s="111">
        <f>(I20+I28)*1.4</f>
        <v>13.803999999999998</v>
      </c>
      <c r="J9" s="343" t="s">
        <v>104</v>
      </c>
      <c r="L9" s="1002" t="s">
        <v>3123</v>
      </c>
      <c r="M9" s="1003"/>
      <c r="N9" s="1003"/>
      <c r="O9" s="1003"/>
      <c r="P9" s="1003"/>
      <c r="Q9" s="1003"/>
      <c r="R9" s="1003"/>
      <c r="S9" s="1004"/>
    </row>
    <row r="10" spans="1:19" ht="37.5" customHeight="1" x14ac:dyDescent="0.25">
      <c r="A10" s="999" t="s">
        <v>5311</v>
      </c>
      <c r="B10" s="1000"/>
      <c r="C10" s="1000"/>
      <c r="D10" s="1000"/>
      <c r="E10" s="1000"/>
      <c r="F10" s="1000"/>
      <c r="G10" s="1000"/>
      <c r="H10" s="1001"/>
      <c r="I10" s="342">
        <f>S8+S11</f>
        <v>51.358000000000004</v>
      </c>
      <c r="J10" s="343" t="s">
        <v>103</v>
      </c>
      <c r="L10" s="105" t="s">
        <v>102</v>
      </c>
      <c r="M10" s="106" t="s">
        <v>273</v>
      </c>
      <c r="N10" s="106" t="s">
        <v>274</v>
      </c>
      <c r="O10" s="106" t="s">
        <v>275</v>
      </c>
      <c r="P10" s="106" t="s">
        <v>1121</v>
      </c>
      <c r="Q10" s="106" t="s">
        <v>276</v>
      </c>
      <c r="R10" s="106" t="s">
        <v>150</v>
      </c>
      <c r="S10" s="106" t="s">
        <v>151</v>
      </c>
    </row>
    <row r="11" spans="1:19" ht="30" customHeight="1" x14ac:dyDescent="0.25">
      <c r="A11" s="887"/>
      <c r="B11" s="888"/>
      <c r="C11" s="888"/>
      <c r="D11" s="888"/>
      <c r="E11" s="888"/>
      <c r="F11" s="888"/>
      <c r="G11" s="888"/>
      <c r="H11" s="888"/>
      <c r="I11" s="652"/>
      <c r="J11" s="343"/>
      <c r="L11" s="107">
        <v>1</v>
      </c>
      <c r="M11" s="108">
        <f>2.43+2.43+2.6+2.6+1.44+2.11+2.11+2.13+1.09+1.09+1.9+4.43+5.54+5.68+3.38</f>
        <v>40.96</v>
      </c>
      <c r="N11" s="108">
        <f>0.4+0.4</f>
        <v>0.8</v>
      </c>
      <c r="O11" s="109">
        <f>M11*N11</f>
        <v>32.768000000000001</v>
      </c>
      <c r="P11" s="108">
        <v>0.45</v>
      </c>
      <c r="Q11" s="108">
        <v>0.4</v>
      </c>
      <c r="R11" s="109">
        <f>O11*(P11+Q11)*L11</f>
        <v>27.852800000000002</v>
      </c>
      <c r="S11" s="109">
        <f>O11*L11</f>
        <v>32.768000000000001</v>
      </c>
    </row>
    <row r="12" spans="1:19" ht="35.25" customHeight="1" x14ac:dyDescent="0.25">
      <c r="A12" s="999" t="s">
        <v>5312</v>
      </c>
      <c r="B12" s="1000"/>
      <c r="C12" s="1000"/>
      <c r="D12" s="1000"/>
      <c r="E12" s="1000"/>
      <c r="F12" s="1000"/>
      <c r="G12" s="1000"/>
      <c r="H12" s="1001"/>
      <c r="I12" s="342">
        <f>I10</f>
        <v>51.358000000000004</v>
      </c>
      <c r="J12" s="343" t="s">
        <v>103</v>
      </c>
    </row>
    <row r="13" spans="1:19" x14ac:dyDescent="0.25">
      <c r="A13" s="912"/>
      <c r="B13" s="913"/>
      <c r="C13" s="913"/>
      <c r="D13" s="913"/>
      <c r="E13" s="913"/>
      <c r="F13" s="913"/>
      <c r="G13" s="913"/>
      <c r="H13" s="913"/>
      <c r="I13" s="653"/>
      <c r="J13" s="343"/>
    </row>
    <row r="14" spans="1:19" x14ac:dyDescent="0.25">
      <c r="A14" s="999"/>
      <c r="B14" s="1000"/>
      <c r="C14" s="1000"/>
      <c r="D14" s="1000"/>
      <c r="E14" s="1000"/>
      <c r="F14" s="1000"/>
      <c r="G14" s="1000"/>
      <c r="H14" s="1001"/>
      <c r="I14" s="653"/>
      <c r="J14" s="343"/>
    </row>
    <row r="15" spans="1:19" ht="30" customHeight="1" x14ac:dyDescent="0.25">
      <c r="A15" s="985"/>
      <c r="B15" s="986"/>
      <c r="C15" s="986"/>
      <c r="D15" s="986"/>
      <c r="E15" s="986"/>
      <c r="F15" s="986"/>
      <c r="G15" s="986"/>
      <c r="H15" s="986"/>
      <c r="I15" s="653"/>
      <c r="J15" s="343"/>
    </row>
    <row r="16" spans="1:19" ht="15" customHeight="1" x14ac:dyDescent="0.25">
      <c r="A16" s="888"/>
      <c r="B16" s="888"/>
      <c r="C16" s="888"/>
      <c r="D16" s="888"/>
      <c r="E16" s="888"/>
      <c r="F16" s="888"/>
      <c r="G16" s="888"/>
      <c r="H16" s="888"/>
      <c r="I16" s="652"/>
      <c r="J16" s="343"/>
    </row>
    <row r="17" spans="1:10" ht="15" customHeight="1" thickBot="1" x14ac:dyDescent="0.3">
      <c r="A17" s="987"/>
      <c r="B17" s="988"/>
      <c r="C17" s="988"/>
      <c r="D17" s="988"/>
      <c r="E17" s="988"/>
      <c r="F17" s="988"/>
      <c r="G17" s="988"/>
      <c r="H17" s="989"/>
      <c r="I17" s="654"/>
      <c r="J17" s="344"/>
    </row>
    <row r="18" spans="1:10" ht="18" thickBot="1" x14ac:dyDescent="0.3">
      <c r="A18" s="996" t="s">
        <v>5313</v>
      </c>
      <c r="B18" s="997"/>
      <c r="C18" s="997"/>
      <c r="D18" s="997"/>
      <c r="E18" s="997"/>
      <c r="F18" s="997"/>
      <c r="G18" s="997"/>
      <c r="H18" s="997"/>
      <c r="I18" s="998"/>
      <c r="J18" s="101" t="s">
        <v>5</v>
      </c>
    </row>
    <row r="19" spans="1:10" x14ac:dyDescent="0.25">
      <c r="A19" s="920" t="s">
        <v>285</v>
      </c>
      <c r="B19" s="921"/>
      <c r="C19" s="921"/>
      <c r="D19" s="921"/>
      <c r="E19" s="921"/>
      <c r="F19" s="921"/>
      <c r="G19" s="921"/>
      <c r="H19" s="921"/>
      <c r="I19" s="111">
        <f>12.32</f>
        <v>12.32</v>
      </c>
      <c r="J19" s="104" t="s">
        <v>103</v>
      </c>
    </row>
    <row r="20" spans="1:10" x14ac:dyDescent="0.25">
      <c r="A20" s="889" t="s">
        <v>286</v>
      </c>
      <c r="B20" s="890"/>
      <c r="C20" s="890"/>
      <c r="D20" s="890"/>
      <c r="E20" s="890"/>
      <c r="F20" s="890"/>
      <c r="G20" s="890"/>
      <c r="H20" s="890"/>
      <c r="I20" s="342">
        <f>3.56</f>
        <v>3.56</v>
      </c>
      <c r="J20" s="343" t="s">
        <v>104</v>
      </c>
    </row>
    <row r="21" spans="1:10" x14ac:dyDescent="0.25">
      <c r="A21" s="889" t="s">
        <v>284</v>
      </c>
      <c r="B21" s="890"/>
      <c r="C21" s="890"/>
      <c r="D21" s="890"/>
      <c r="E21" s="890"/>
      <c r="F21" s="890"/>
      <c r="G21" s="890"/>
      <c r="H21" s="890"/>
      <c r="I21" s="342">
        <f>I20</f>
        <v>3.56</v>
      </c>
      <c r="J21" s="343" t="s">
        <v>104</v>
      </c>
    </row>
    <row r="22" spans="1:10" x14ac:dyDescent="0.25">
      <c r="A22" s="889" t="s">
        <v>5314</v>
      </c>
      <c r="B22" s="890"/>
      <c r="C22" s="890"/>
      <c r="D22" s="890"/>
      <c r="E22" s="890"/>
      <c r="F22" s="890"/>
      <c r="G22" s="890"/>
      <c r="H22" s="890"/>
      <c r="I22" s="342">
        <f>15.29+82</f>
        <v>97.289999999999992</v>
      </c>
      <c r="J22" s="343" t="s">
        <v>71</v>
      </c>
    </row>
    <row r="23" spans="1:10" x14ac:dyDescent="0.25">
      <c r="A23" s="889" t="s">
        <v>5315</v>
      </c>
      <c r="B23" s="890"/>
      <c r="C23" s="890"/>
      <c r="D23" s="890"/>
      <c r="E23" s="890"/>
      <c r="F23" s="890"/>
      <c r="G23" s="890"/>
      <c r="H23" s="890"/>
      <c r="I23" s="342">
        <f>218</f>
        <v>218</v>
      </c>
      <c r="J23" s="343" t="s">
        <v>71</v>
      </c>
    </row>
    <row r="24" spans="1:10" x14ac:dyDescent="0.25">
      <c r="A24" s="889" t="s">
        <v>288</v>
      </c>
      <c r="B24" s="890"/>
      <c r="C24" s="890"/>
      <c r="D24" s="890"/>
      <c r="E24" s="890"/>
      <c r="F24" s="890"/>
      <c r="G24" s="890"/>
      <c r="H24" s="890"/>
      <c r="I24" s="342">
        <f>161.15</f>
        <v>161.15</v>
      </c>
      <c r="J24" s="343" t="s">
        <v>71</v>
      </c>
    </row>
    <row r="25" spans="1:10" ht="15.75" thickBot="1" x14ac:dyDescent="0.3">
      <c r="A25" s="912" t="s">
        <v>5316</v>
      </c>
      <c r="B25" s="913"/>
      <c r="C25" s="913"/>
      <c r="D25" s="913"/>
      <c r="E25" s="913"/>
      <c r="F25" s="913"/>
      <c r="G25" s="913"/>
      <c r="H25" s="913"/>
      <c r="I25" s="113">
        <f>11*12</f>
        <v>132</v>
      </c>
      <c r="J25" s="344" t="s">
        <v>75</v>
      </c>
    </row>
    <row r="26" spans="1:10" ht="18" thickBot="1" x14ac:dyDescent="0.3">
      <c r="A26" s="975" t="s">
        <v>3123</v>
      </c>
      <c r="B26" s="976"/>
      <c r="C26" s="976"/>
      <c r="D26" s="976"/>
      <c r="E26" s="976"/>
      <c r="F26" s="976"/>
      <c r="G26" s="976"/>
      <c r="H26" s="976"/>
      <c r="I26" s="977"/>
      <c r="J26" s="101" t="s">
        <v>5</v>
      </c>
    </row>
    <row r="27" spans="1:10" x14ac:dyDescent="0.25">
      <c r="A27" s="920" t="s">
        <v>290</v>
      </c>
      <c r="B27" s="921"/>
      <c r="C27" s="921"/>
      <c r="D27" s="921"/>
      <c r="E27" s="921"/>
      <c r="F27" s="921"/>
      <c r="G27" s="921"/>
      <c r="H27" s="921"/>
      <c r="I27" s="655">
        <f>31.49</f>
        <v>31.49</v>
      </c>
      <c r="J27" s="104" t="s">
        <v>103</v>
      </c>
    </row>
    <row r="28" spans="1:10" x14ac:dyDescent="0.25">
      <c r="A28" s="889" t="s">
        <v>286</v>
      </c>
      <c r="B28" s="890"/>
      <c r="C28" s="890"/>
      <c r="D28" s="890"/>
      <c r="E28" s="890"/>
      <c r="F28" s="890"/>
      <c r="G28" s="890"/>
      <c r="H28" s="890"/>
      <c r="I28" s="656">
        <f>6.3</f>
        <v>6.3</v>
      </c>
      <c r="J28" s="343" t="s">
        <v>104</v>
      </c>
    </row>
    <row r="29" spans="1:10" x14ac:dyDescent="0.25">
      <c r="A29" s="889" t="s">
        <v>284</v>
      </c>
      <c r="B29" s="890"/>
      <c r="C29" s="890"/>
      <c r="D29" s="890"/>
      <c r="E29" s="890"/>
      <c r="F29" s="890"/>
      <c r="G29" s="890"/>
      <c r="H29" s="890"/>
      <c r="I29" s="656">
        <f>I28</f>
        <v>6.3</v>
      </c>
      <c r="J29" s="343" t="s">
        <v>104</v>
      </c>
    </row>
    <row r="30" spans="1:10" x14ac:dyDescent="0.25">
      <c r="A30" s="889" t="s">
        <v>292</v>
      </c>
      <c r="B30" s="890"/>
      <c r="C30" s="890"/>
      <c r="D30" s="890"/>
      <c r="E30" s="890"/>
      <c r="F30" s="890"/>
      <c r="G30" s="890"/>
      <c r="H30" s="890"/>
      <c r="I30" s="657">
        <f>115.16</f>
        <v>115.16</v>
      </c>
      <c r="J30" s="343" t="s">
        <v>71</v>
      </c>
    </row>
    <row r="31" spans="1:10" ht="15.75" thickBot="1" x14ac:dyDescent="0.3">
      <c r="A31" s="902" t="s">
        <v>289</v>
      </c>
      <c r="B31" s="903"/>
      <c r="C31" s="903"/>
      <c r="D31" s="903"/>
      <c r="E31" s="903"/>
      <c r="F31" s="903"/>
      <c r="G31" s="903"/>
      <c r="H31" s="903"/>
      <c r="I31" s="658">
        <f>255.23</f>
        <v>255.23</v>
      </c>
      <c r="J31" s="344" t="s">
        <v>71</v>
      </c>
    </row>
    <row r="32" spans="1:10" ht="15.75" thickBot="1" x14ac:dyDescent="0.3">
      <c r="A32" s="100"/>
      <c r="B32" s="100"/>
      <c r="C32" s="100"/>
      <c r="D32" s="100"/>
      <c r="E32" s="100"/>
      <c r="F32" s="100"/>
      <c r="G32" s="100"/>
      <c r="H32" s="100"/>
    </row>
    <row r="33" spans="1:10" ht="18" thickBot="1" x14ac:dyDescent="0.3">
      <c r="A33" s="975" t="s">
        <v>3129</v>
      </c>
      <c r="B33" s="976"/>
      <c r="C33" s="976"/>
      <c r="D33" s="976"/>
      <c r="E33" s="976"/>
      <c r="F33" s="976"/>
      <c r="G33" s="976"/>
      <c r="H33" s="976"/>
      <c r="I33" s="977"/>
      <c r="J33" s="659" t="s">
        <v>5</v>
      </c>
    </row>
    <row r="34" spans="1:10" x14ac:dyDescent="0.25">
      <c r="A34" s="920" t="s">
        <v>290</v>
      </c>
      <c r="B34" s="921"/>
      <c r="C34" s="921"/>
      <c r="D34" s="921"/>
      <c r="E34" s="921"/>
      <c r="F34" s="921"/>
      <c r="G34" s="921"/>
      <c r="H34" s="921"/>
      <c r="I34" s="111">
        <f>4.62</f>
        <v>4.62</v>
      </c>
      <c r="J34" s="104" t="s">
        <v>103</v>
      </c>
    </row>
    <row r="35" spans="1:10" x14ac:dyDescent="0.25">
      <c r="A35" s="889" t="s">
        <v>286</v>
      </c>
      <c r="B35" s="890"/>
      <c r="C35" s="890"/>
      <c r="D35" s="890"/>
      <c r="E35" s="890"/>
      <c r="F35" s="890"/>
      <c r="G35" s="890"/>
      <c r="H35" s="890"/>
      <c r="I35" s="342">
        <f>0.33</f>
        <v>0.33</v>
      </c>
      <c r="J35" s="343" t="s">
        <v>104</v>
      </c>
    </row>
    <row r="36" spans="1:10" x14ac:dyDescent="0.25">
      <c r="A36" s="889" t="s">
        <v>284</v>
      </c>
      <c r="B36" s="890"/>
      <c r="C36" s="890"/>
      <c r="D36" s="890"/>
      <c r="E36" s="890"/>
      <c r="F36" s="890"/>
      <c r="G36" s="890"/>
      <c r="H36" s="890"/>
      <c r="I36" s="342">
        <f>I35</f>
        <v>0.33</v>
      </c>
      <c r="J36" s="343" t="s">
        <v>104</v>
      </c>
    </row>
    <row r="37" spans="1:10" x14ac:dyDescent="0.25">
      <c r="A37" s="889" t="s">
        <v>287</v>
      </c>
      <c r="B37" s="890"/>
      <c r="C37" s="890"/>
      <c r="D37" s="890"/>
      <c r="E37" s="890"/>
      <c r="F37" s="890"/>
      <c r="G37" s="890"/>
      <c r="H37" s="890"/>
      <c r="I37" s="342">
        <f>12.1</f>
        <v>12.1</v>
      </c>
      <c r="J37" s="343" t="s">
        <v>71</v>
      </c>
    </row>
    <row r="38" spans="1:10" x14ac:dyDescent="0.25">
      <c r="A38" s="889" t="s">
        <v>288</v>
      </c>
      <c r="B38" s="890"/>
      <c r="C38" s="890"/>
      <c r="D38" s="890"/>
      <c r="E38" s="890"/>
      <c r="F38" s="890"/>
      <c r="G38" s="890"/>
      <c r="H38" s="890"/>
      <c r="I38" s="342">
        <f>84.7</f>
        <v>84.7</v>
      </c>
      <c r="J38" s="343" t="s">
        <v>71</v>
      </c>
    </row>
    <row r="39" spans="1:10" ht="15.75" thickBot="1" x14ac:dyDescent="0.3"/>
    <row r="40" spans="1:10" ht="18" thickBot="1" x14ac:dyDescent="0.3">
      <c r="A40" s="972" t="s">
        <v>294</v>
      </c>
      <c r="B40" s="973"/>
      <c r="C40" s="973"/>
      <c r="D40" s="973"/>
      <c r="E40" s="973"/>
      <c r="F40" s="973"/>
      <c r="G40" s="973"/>
      <c r="H40" s="973"/>
      <c r="I40" s="974"/>
    </row>
    <row r="41" spans="1:10" ht="18" thickBot="1" x14ac:dyDescent="0.3">
      <c r="A41" s="975" t="s">
        <v>62</v>
      </c>
      <c r="B41" s="976"/>
      <c r="C41" s="976"/>
      <c r="D41" s="976"/>
      <c r="E41" s="976"/>
      <c r="F41" s="976"/>
      <c r="G41" s="976"/>
      <c r="H41" s="976"/>
      <c r="I41" s="977"/>
      <c r="J41" s="101" t="s">
        <v>5</v>
      </c>
    </row>
    <row r="42" spans="1:10" x14ac:dyDescent="0.25">
      <c r="A42" s="920" t="s">
        <v>260</v>
      </c>
      <c r="B42" s="921"/>
      <c r="C42" s="921"/>
      <c r="D42" s="921"/>
      <c r="E42" s="921"/>
      <c r="F42" s="921"/>
      <c r="G42" s="921"/>
      <c r="H42" s="921"/>
      <c r="I42" s="111">
        <f>1234.9+38.86</f>
        <v>1273.76</v>
      </c>
      <c r="J42" s="343" t="s">
        <v>71</v>
      </c>
    </row>
    <row r="43" spans="1:10" x14ac:dyDescent="0.25">
      <c r="A43" s="889" t="s">
        <v>261</v>
      </c>
      <c r="B43" s="890"/>
      <c r="C43" s="890"/>
      <c r="D43" s="890"/>
      <c r="E43" s="890"/>
      <c r="F43" s="890"/>
      <c r="G43" s="890"/>
      <c r="H43" s="890"/>
      <c r="I43" s="342">
        <f>68.14</f>
        <v>68.14</v>
      </c>
      <c r="J43" s="343" t="s">
        <v>103</v>
      </c>
    </row>
    <row r="44" spans="1:10" ht="15.75" thickBot="1" x14ac:dyDescent="0.3">
      <c r="A44" s="902" t="s">
        <v>262</v>
      </c>
      <c r="B44" s="903"/>
      <c r="C44" s="903"/>
      <c r="D44" s="903"/>
      <c r="E44" s="903"/>
      <c r="F44" s="903"/>
      <c r="G44" s="903"/>
      <c r="H44" s="903"/>
      <c r="I44" s="342">
        <f>24.72</f>
        <v>24.72</v>
      </c>
      <c r="J44" s="343" t="s">
        <v>71</v>
      </c>
    </row>
  </sheetData>
  <mergeCells count="44">
    <mergeCell ref="A11:H11"/>
    <mergeCell ref="A1:J1"/>
    <mergeCell ref="A4:I4"/>
    <mergeCell ref="L4:S4"/>
    <mergeCell ref="A5:I5"/>
    <mergeCell ref="L5:S5"/>
    <mergeCell ref="A6:H6"/>
    <mergeCell ref="L6:S6"/>
    <mergeCell ref="A7:H7"/>
    <mergeCell ref="A8:H8"/>
    <mergeCell ref="A9:H9"/>
    <mergeCell ref="L9:S9"/>
    <mergeCell ref="A10:H10"/>
    <mergeCell ref="A23:H23"/>
    <mergeCell ref="A12:H12"/>
    <mergeCell ref="A13:H13"/>
    <mergeCell ref="A14:H14"/>
    <mergeCell ref="A15:H15"/>
    <mergeCell ref="A16:H16"/>
    <mergeCell ref="A17:H17"/>
    <mergeCell ref="A18:I18"/>
    <mergeCell ref="A19:H19"/>
    <mergeCell ref="A20:H20"/>
    <mergeCell ref="A21:H21"/>
    <mergeCell ref="A22:H22"/>
    <mergeCell ref="A36:H36"/>
    <mergeCell ref="A24:H24"/>
    <mergeCell ref="A25:H25"/>
    <mergeCell ref="A26:I26"/>
    <mergeCell ref="A27:H27"/>
    <mergeCell ref="A28:H28"/>
    <mergeCell ref="A29:H29"/>
    <mergeCell ref="A30:H30"/>
    <mergeCell ref="A31:H31"/>
    <mergeCell ref="A33:I33"/>
    <mergeCell ref="A34:H34"/>
    <mergeCell ref="A35:H35"/>
    <mergeCell ref="A44:H44"/>
    <mergeCell ref="A37:H37"/>
    <mergeCell ref="A38:H38"/>
    <mergeCell ref="A40:I40"/>
    <mergeCell ref="A41:I41"/>
    <mergeCell ref="A42:H42"/>
    <mergeCell ref="A43:H43"/>
  </mergeCells>
  <pageMargins left="0.511811024" right="0.511811024" top="0.78740157499999996" bottom="0.78740157499999996" header="0.31496062000000002" footer="0.31496062000000002"/>
  <pageSetup paperSize="9" scale="93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25" zoomScale="60" zoomScaleNormal="100" workbookViewId="0">
      <selection activeCell="A25" sqref="A25:H25"/>
    </sheetView>
  </sheetViews>
  <sheetFormatPr defaultColWidth="9.140625" defaultRowHeight="15" x14ac:dyDescent="0.25"/>
  <cols>
    <col min="1" max="8" width="9.140625" style="660"/>
    <col min="9" max="9" width="10.28515625" style="661" bestFit="1" customWidth="1"/>
    <col min="10" max="16384" width="9.140625" style="660"/>
  </cols>
  <sheetData>
    <row r="1" spans="1:12" ht="60" customHeight="1" thickBot="1" x14ac:dyDescent="0.3">
      <c r="A1" s="966" t="s">
        <v>5317</v>
      </c>
      <c r="B1" s="967"/>
      <c r="C1" s="967"/>
      <c r="D1" s="967"/>
      <c r="E1" s="967"/>
      <c r="F1" s="967"/>
      <c r="G1" s="967"/>
      <c r="H1" s="967"/>
      <c r="I1" s="967"/>
      <c r="J1" s="968"/>
    </row>
    <row r="2" spans="1:12" ht="15.75" thickBot="1" x14ac:dyDescent="0.3"/>
    <row r="3" spans="1:12" ht="18" thickBot="1" x14ac:dyDescent="0.3">
      <c r="A3" s="1019" t="s">
        <v>253</v>
      </c>
      <c r="B3" s="1020"/>
      <c r="C3" s="1020"/>
      <c r="D3" s="1020"/>
      <c r="E3" s="1020"/>
      <c r="F3" s="1020"/>
      <c r="G3" s="1020"/>
      <c r="H3" s="1020"/>
      <c r="I3" s="1021"/>
      <c r="J3" s="257" t="s">
        <v>5318</v>
      </c>
    </row>
    <row r="4" spans="1:12" ht="30" customHeight="1" x14ac:dyDescent="0.25">
      <c r="A4" s="900" t="s">
        <v>5319</v>
      </c>
      <c r="B4" s="901"/>
      <c r="C4" s="901"/>
      <c r="D4" s="901"/>
      <c r="E4" s="901"/>
      <c r="F4" s="901"/>
      <c r="G4" s="901"/>
      <c r="H4" s="901"/>
      <c r="I4" s="662">
        <f>I23*0.4</f>
        <v>626.73199999999997</v>
      </c>
      <c r="J4" s="628" t="s">
        <v>89</v>
      </c>
      <c r="K4" s="970" t="s">
        <v>5294</v>
      </c>
      <c r="L4" s="971"/>
    </row>
    <row r="5" spans="1:12" ht="34.15" customHeight="1" thickBot="1" x14ac:dyDescent="0.3">
      <c r="A5" s="934" t="s">
        <v>5320</v>
      </c>
      <c r="B5" s="935"/>
      <c r="C5" s="935"/>
      <c r="D5" s="935"/>
      <c r="E5" s="935"/>
      <c r="F5" s="935"/>
      <c r="G5" s="935"/>
      <c r="H5" s="935"/>
      <c r="I5" s="663">
        <f>I23</f>
        <v>1566.83</v>
      </c>
      <c r="J5" s="628" t="s">
        <v>103</v>
      </c>
      <c r="K5" s="970"/>
      <c r="L5" s="971"/>
    </row>
    <row r="6" spans="1:12" ht="15.75" thickBot="1" x14ac:dyDescent="0.3">
      <c r="A6" s="900" t="s">
        <v>5321</v>
      </c>
      <c r="B6" s="901"/>
      <c r="C6" s="901"/>
      <c r="D6" s="901"/>
      <c r="E6" s="901"/>
      <c r="F6" s="901"/>
      <c r="G6" s="901"/>
      <c r="H6" s="901"/>
      <c r="I6" s="662">
        <f>I4</f>
        <v>626.73199999999997</v>
      </c>
      <c r="J6" s="628" t="s">
        <v>89</v>
      </c>
      <c r="K6" s="970"/>
      <c r="L6" s="971"/>
    </row>
    <row r="7" spans="1:12" ht="18" thickBot="1" x14ac:dyDescent="0.3">
      <c r="A7" s="1019" t="s">
        <v>254</v>
      </c>
      <c r="B7" s="1020"/>
      <c r="C7" s="1020"/>
      <c r="D7" s="1020"/>
      <c r="E7" s="1020"/>
      <c r="F7" s="1020"/>
      <c r="G7" s="1020"/>
      <c r="H7" s="1020"/>
      <c r="I7" s="1021"/>
      <c r="J7" s="628"/>
    </row>
    <row r="8" spans="1:12" ht="18" thickBot="1" x14ac:dyDescent="0.3">
      <c r="A8" s="1013" t="s">
        <v>255</v>
      </c>
      <c r="B8" s="1014"/>
      <c r="C8" s="1014"/>
      <c r="D8" s="1014"/>
      <c r="E8" s="1014"/>
      <c r="F8" s="1014"/>
      <c r="G8" s="1014"/>
      <c r="H8" s="1014"/>
      <c r="I8" s="1015"/>
      <c r="J8" s="257" t="s">
        <v>5318</v>
      </c>
    </row>
    <row r="9" spans="1:12" ht="36" customHeight="1" x14ac:dyDescent="0.25">
      <c r="A9" s="900" t="s">
        <v>5322</v>
      </c>
      <c r="B9" s="901"/>
      <c r="C9" s="901"/>
      <c r="D9" s="901"/>
      <c r="E9" s="901"/>
      <c r="F9" s="901"/>
      <c r="G9" s="901"/>
      <c r="H9" s="901"/>
      <c r="I9" s="664">
        <f>30*2*12</f>
        <v>720</v>
      </c>
      <c r="J9" s="628" t="s">
        <v>63</v>
      </c>
    </row>
    <row r="10" spans="1:12" x14ac:dyDescent="0.25">
      <c r="A10" s="900" t="s">
        <v>5250</v>
      </c>
      <c r="B10" s="901"/>
      <c r="C10" s="901"/>
      <c r="D10" s="901"/>
      <c r="E10" s="901"/>
      <c r="F10" s="901"/>
      <c r="G10" s="901"/>
      <c r="H10" s="901"/>
      <c r="I10" s="664">
        <v>462</v>
      </c>
      <c r="J10" s="628" t="s">
        <v>71</v>
      </c>
    </row>
    <row r="11" spans="1:12" x14ac:dyDescent="0.25">
      <c r="A11" s="900" t="s">
        <v>5252</v>
      </c>
      <c r="B11" s="901"/>
      <c r="C11" s="901"/>
      <c r="D11" s="901"/>
      <c r="E11" s="901"/>
      <c r="F11" s="901"/>
      <c r="G11" s="901"/>
      <c r="H11" s="901"/>
      <c r="I11" s="664">
        <v>1137.5999999999999</v>
      </c>
      <c r="J11" s="628" t="s">
        <v>71</v>
      </c>
    </row>
    <row r="12" spans="1:12" ht="30" customHeight="1" x14ac:dyDescent="0.25">
      <c r="A12" s="900" t="s">
        <v>5323</v>
      </c>
      <c r="B12" s="901"/>
      <c r="C12" s="901"/>
      <c r="D12" s="901"/>
      <c r="E12" s="901"/>
      <c r="F12" s="901"/>
      <c r="G12" s="901"/>
      <c r="H12" s="901"/>
      <c r="I12" s="664">
        <f>30*(1.5+0.2+0.2)*(0.6+0.2+0.2)*(0.9+0.6+0.05)</f>
        <v>88.350000000000009</v>
      </c>
      <c r="J12" s="628" t="s">
        <v>89</v>
      </c>
    </row>
    <row r="13" spans="1:12" ht="45" customHeight="1" x14ac:dyDescent="0.25">
      <c r="A13" s="887" t="s">
        <v>5324</v>
      </c>
      <c r="B13" s="888"/>
      <c r="C13" s="888"/>
      <c r="D13" s="888"/>
      <c r="E13" s="888"/>
      <c r="F13" s="888"/>
      <c r="G13" s="888"/>
      <c r="H13" s="888"/>
      <c r="I13" s="665">
        <f>(0.2+0.2+0.2)*(30+50.25+30+50.25)*(0.6+0.05)+(0.2+0.14+0.2)*(3.945*4+15.04+5.06+2.36)*(0.4+0.05)</f>
        <v>71.887320000000017</v>
      </c>
      <c r="J13" s="628" t="s">
        <v>89</v>
      </c>
    </row>
    <row r="14" spans="1:12" x14ac:dyDescent="0.25">
      <c r="A14" s="887" t="s">
        <v>5325</v>
      </c>
      <c r="B14" s="888"/>
      <c r="C14" s="888"/>
      <c r="D14" s="888"/>
      <c r="E14" s="888"/>
      <c r="F14" s="888"/>
      <c r="G14" s="888"/>
      <c r="H14" s="888"/>
      <c r="I14" s="665">
        <f>30*(0.2+1.5+0.2)*(0.2+0.6+0.2)</f>
        <v>57</v>
      </c>
      <c r="J14" s="628" t="s">
        <v>61</v>
      </c>
    </row>
    <row r="15" spans="1:12" ht="30" customHeight="1" x14ac:dyDescent="0.25">
      <c r="A15" s="887" t="s">
        <v>5326</v>
      </c>
      <c r="B15" s="888"/>
      <c r="C15" s="888"/>
      <c r="D15" s="888"/>
      <c r="E15" s="888"/>
      <c r="F15" s="888"/>
      <c r="G15" s="888"/>
      <c r="H15" s="888"/>
      <c r="I15" s="665">
        <f>(0.2+0.2+0.2)*(30+50.25+30+50.25)+(0.2+0.14+0.2)*(3.945*4+15.04+5.06+2.36)</f>
        <v>116.94960000000002</v>
      </c>
      <c r="J15" s="628" t="s">
        <v>61</v>
      </c>
    </row>
    <row r="16" spans="1:12" x14ac:dyDescent="0.25">
      <c r="A16" s="887" t="s">
        <v>5327</v>
      </c>
      <c r="B16" s="888"/>
      <c r="C16" s="888"/>
      <c r="D16" s="888"/>
      <c r="E16" s="888"/>
      <c r="F16" s="888"/>
      <c r="G16" s="888"/>
      <c r="H16" s="888"/>
      <c r="I16" s="665">
        <f>I14</f>
        <v>57</v>
      </c>
      <c r="J16" s="628" t="s">
        <v>61</v>
      </c>
    </row>
    <row r="17" spans="1:13" x14ac:dyDescent="0.25">
      <c r="A17" s="985" t="s">
        <v>5261</v>
      </c>
      <c r="B17" s="986"/>
      <c r="C17" s="986"/>
      <c r="D17" s="986"/>
      <c r="E17" s="986"/>
      <c r="F17" s="986"/>
      <c r="G17" s="986"/>
      <c r="H17" s="986"/>
      <c r="I17" s="666">
        <f>I15</f>
        <v>116.94960000000002</v>
      </c>
      <c r="J17" s="628" t="s">
        <v>61</v>
      </c>
    </row>
    <row r="18" spans="1:13" ht="33.6" customHeight="1" x14ac:dyDescent="0.25">
      <c r="A18" s="887" t="s">
        <v>5328</v>
      </c>
      <c r="B18" s="888"/>
      <c r="C18" s="888"/>
      <c r="D18" s="888"/>
      <c r="E18" s="888"/>
      <c r="F18" s="888"/>
      <c r="G18" s="888"/>
      <c r="H18" s="888"/>
      <c r="I18" s="667">
        <f>I12-I32-I14*0.05-I41</f>
        <v>58.70000000000001</v>
      </c>
      <c r="J18" s="628" t="s">
        <v>89</v>
      </c>
    </row>
    <row r="19" spans="1:13" ht="30" customHeight="1" x14ac:dyDescent="0.25">
      <c r="A19" s="887" t="s">
        <v>5264</v>
      </c>
      <c r="B19" s="888"/>
      <c r="C19" s="888"/>
      <c r="D19" s="888"/>
      <c r="E19" s="888"/>
      <c r="F19" s="888"/>
      <c r="G19" s="888"/>
      <c r="H19" s="888"/>
      <c r="I19" s="667">
        <f>I13-I15*0.05-I51</f>
        <v>45.839840000000009</v>
      </c>
      <c r="J19" s="628" t="s">
        <v>89</v>
      </c>
    </row>
    <row r="20" spans="1:13" ht="30" customHeight="1" x14ac:dyDescent="0.25">
      <c r="A20" s="887" t="s">
        <v>5329</v>
      </c>
      <c r="B20" s="888"/>
      <c r="C20" s="888"/>
      <c r="D20" s="888"/>
      <c r="E20" s="888"/>
      <c r="F20" s="888"/>
      <c r="G20" s="888"/>
      <c r="H20" s="888"/>
      <c r="I20" s="667">
        <f>I32*1.3</f>
        <v>31.590000000000003</v>
      </c>
      <c r="J20" s="628" t="s">
        <v>89</v>
      </c>
    </row>
    <row r="21" spans="1:13" ht="30" customHeight="1" x14ac:dyDescent="0.25">
      <c r="A21" s="887" t="s">
        <v>5330</v>
      </c>
      <c r="B21" s="888"/>
      <c r="C21" s="888"/>
      <c r="D21" s="888"/>
      <c r="E21" s="888"/>
      <c r="F21" s="888"/>
      <c r="G21" s="888"/>
      <c r="H21" s="888"/>
      <c r="I21" s="667">
        <f>I51*1.3</f>
        <v>26.26</v>
      </c>
      <c r="J21" s="628" t="s">
        <v>89</v>
      </c>
    </row>
    <row r="22" spans="1:13" ht="30" customHeight="1" x14ac:dyDescent="0.25">
      <c r="A22" s="887" t="s">
        <v>5267</v>
      </c>
      <c r="B22" s="888"/>
      <c r="C22" s="888"/>
      <c r="D22" s="888"/>
      <c r="E22" s="888"/>
      <c r="F22" s="888"/>
      <c r="G22" s="888"/>
      <c r="H22" s="888"/>
      <c r="I22" s="667">
        <f>I50</f>
        <v>246.2</v>
      </c>
      <c r="J22" s="628" t="s">
        <v>61</v>
      </c>
    </row>
    <row r="23" spans="1:13" ht="15" customHeight="1" thickBot="1" x14ac:dyDescent="0.3">
      <c r="A23" s="934" t="s">
        <v>5268</v>
      </c>
      <c r="B23" s="935"/>
      <c r="C23" s="935"/>
      <c r="D23" s="935"/>
      <c r="E23" s="935"/>
      <c r="F23" s="935"/>
      <c r="G23" s="935"/>
      <c r="H23" s="935"/>
      <c r="I23" s="668">
        <v>1566.83</v>
      </c>
      <c r="J23" s="628" t="s">
        <v>61</v>
      </c>
    </row>
    <row r="24" spans="1:13" ht="15" customHeight="1" thickBot="1" x14ac:dyDescent="0.3">
      <c r="A24" s="1022" t="s">
        <v>100</v>
      </c>
      <c r="B24" s="1023"/>
      <c r="C24" s="1023"/>
      <c r="D24" s="1023"/>
      <c r="E24" s="1023"/>
      <c r="F24" s="1023"/>
      <c r="G24" s="1023"/>
      <c r="H24" s="1023"/>
      <c r="I24" s="1024"/>
      <c r="J24" s="669" t="s">
        <v>5318</v>
      </c>
    </row>
    <row r="25" spans="1:13" ht="43.9" customHeight="1" x14ac:dyDescent="0.25">
      <c r="A25" s="985" t="s">
        <v>5331</v>
      </c>
      <c r="B25" s="986"/>
      <c r="C25" s="986"/>
      <c r="D25" s="986"/>
      <c r="E25" s="986"/>
      <c r="F25" s="986"/>
      <c r="G25" s="986"/>
      <c r="H25" s="986"/>
      <c r="I25" s="666">
        <f>I23*0.05</f>
        <v>78.341499999999996</v>
      </c>
      <c r="J25" s="628" t="s">
        <v>104</v>
      </c>
    </row>
    <row r="26" spans="1:13" ht="15" customHeight="1" x14ac:dyDescent="0.25">
      <c r="A26" s="999" t="s">
        <v>5272</v>
      </c>
      <c r="B26" s="1000"/>
      <c r="C26" s="1000"/>
      <c r="D26" s="1000"/>
      <c r="E26" s="1000"/>
      <c r="F26" s="1000"/>
      <c r="G26" s="1000"/>
      <c r="H26" s="1001"/>
      <c r="I26" s="665">
        <f>I23</f>
        <v>1566.83</v>
      </c>
      <c r="J26" s="628" t="s">
        <v>61</v>
      </c>
    </row>
    <row r="27" spans="1:13" ht="15" customHeight="1" x14ac:dyDescent="0.25">
      <c r="A27" s="887" t="s">
        <v>5274</v>
      </c>
      <c r="B27" s="888"/>
      <c r="C27" s="888"/>
      <c r="D27" s="888"/>
      <c r="E27" s="888"/>
      <c r="F27" s="888"/>
      <c r="G27" s="888"/>
      <c r="H27" s="888"/>
      <c r="I27" s="665">
        <f>I26*0.07</f>
        <v>109.6781</v>
      </c>
      <c r="J27" s="628" t="s">
        <v>89</v>
      </c>
    </row>
    <row r="28" spans="1:13" ht="15" customHeight="1" x14ac:dyDescent="0.25">
      <c r="A28" s="887" t="s">
        <v>5237</v>
      </c>
      <c r="B28" s="888"/>
      <c r="C28" s="888"/>
      <c r="D28" s="888"/>
      <c r="E28" s="888"/>
      <c r="F28" s="888"/>
      <c r="G28" s="888"/>
      <c r="H28" s="888"/>
      <c r="I28" s="665">
        <f>I27</f>
        <v>109.6781</v>
      </c>
      <c r="J28" s="628" t="s">
        <v>89</v>
      </c>
    </row>
    <row r="29" spans="1:13" ht="15" customHeight="1" thickBot="1" x14ac:dyDescent="0.3">
      <c r="A29" s="887" t="s">
        <v>5332</v>
      </c>
      <c r="B29" s="888"/>
      <c r="C29" s="888"/>
      <c r="D29" s="888"/>
      <c r="E29" s="888"/>
      <c r="F29" s="888"/>
      <c r="G29" s="888"/>
      <c r="H29" s="888"/>
      <c r="I29" s="670">
        <f>I26*1.2</f>
        <v>1880.1959999999999</v>
      </c>
      <c r="J29" s="671" t="s">
        <v>77</v>
      </c>
      <c r="K29" s="671" t="s">
        <v>5333</v>
      </c>
      <c r="L29" s="672">
        <f>I29*1.48</f>
        <v>2782.6900799999999</v>
      </c>
      <c r="M29" s="671" t="s">
        <v>2682</v>
      </c>
    </row>
    <row r="30" spans="1:13" ht="18" thickBot="1" x14ac:dyDescent="0.3">
      <c r="A30" s="1013" t="s">
        <v>5334</v>
      </c>
      <c r="B30" s="1014"/>
      <c r="C30" s="1014"/>
      <c r="D30" s="1014"/>
      <c r="E30" s="1014"/>
      <c r="F30" s="1014"/>
      <c r="G30" s="1014"/>
      <c r="H30" s="1014"/>
      <c r="I30" s="1015"/>
      <c r="J30" s="257" t="s">
        <v>5318</v>
      </c>
    </row>
    <row r="31" spans="1:13" x14ac:dyDescent="0.25">
      <c r="A31" s="900" t="s">
        <v>5335</v>
      </c>
      <c r="B31" s="901"/>
      <c r="C31" s="901"/>
      <c r="D31" s="901"/>
      <c r="E31" s="901"/>
      <c r="F31" s="901"/>
      <c r="G31" s="901"/>
      <c r="H31" s="901"/>
      <c r="I31" s="664">
        <f>30*(1.5+0.6+1.5+0.6)*0.9</f>
        <v>113.4</v>
      </c>
      <c r="J31" s="628" t="s">
        <v>61</v>
      </c>
    </row>
    <row r="32" spans="1:13" x14ac:dyDescent="0.25">
      <c r="A32" s="887" t="s">
        <v>5279</v>
      </c>
      <c r="B32" s="888"/>
      <c r="C32" s="888"/>
      <c r="D32" s="888"/>
      <c r="E32" s="888"/>
      <c r="F32" s="888"/>
      <c r="G32" s="888"/>
      <c r="H32" s="888"/>
      <c r="I32" s="665">
        <f>30*1.5*0.6*0.9</f>
        <v>24.3</v>
      </c>
      <c r="J32" s="628" t="s">
        <v>89</v>
      </c>
    </row>
    <row r="33" spans="1:11" x14ac:dyDescent="0.25">
      <c r="A33" s="887" t="s">
        <v>5237</v>
      </c>
      <c r="B33" s="888"/>
      <c r="C33" s="888"/>
      <c r="D33" s="888"/>
      <c r="E33" s="888"/>
      <c r="F33" s="888"/>
      <c r="G33" s="888"/>
      <c r="H33" s="888"/>
      <c r="I33" s="665">
        <f>I32</f>
        <v>24.3</v>
      </c>
      <c r="J33" s="628" t="s">
        <v>89</v>
      </c>
    </row>
    <row r="34" spans="1:11" x14ac:dyDescent="0.25">
      <c r="A34" s="887" t="s">
        <v>5336</v>
      </c>
      <c r="B34" s="888"/>
      <c r="C34" s="888"/>
      <c r="D34" s="888"/>
      <c r="E34" s="888"/>
      <c r="F34" s="888"/>
      <c r="G34" s="888"/>
      <c r="H34" s="888"/>
      <c r="I34" s="665">
        <v>0</v>
      </c>
      <c r="J34" s="628" t="s">
        <v>2682</v>
      </c>
    </row>
    <row r="35" spans="1:11" x14ac:dyDescent="0.25">
      <c r="A35" s="887" t="s">
        <v>5284</v>
      </c>
      <c r="B35" s="888"/>
      <c r="C35" s="888"/>
      <c r="D35" s="888"/>
      <c r="E35" s="888"/>
      <c r="F35" s="888"/>
      <c r="G35" s="888"/>
      <c r="H35" s="888"/>
      <c r="I35" s="665">
        <v>388.52</v>
      </c>
      <c r="J35" s="628" t="s">
        <v>2682</v>
      </c>
    </row>
    <row r="36" spans="1:11" x14ac:dyDescent="0.25">
      <c r="A36" s="887" t="s">
        <v>5337</v>
      </c>
      <c r="B36" s="888"/>
      <c r="C36" s="888"/>
      <c r="D36" s="888"/>
      <c r="E36" s="888"/>
      <c r="F36" s="888"/>
      <c r="G36" s="888"/>
      <c r="H36" s="888"/>
      <c r="I36" s="665">
        <v>0</v>
      </c>
      <c r="J36" s="628" t="s">
        <v>2682</v>
      </c>
    </row>
    <row r="37" spans="1:11" x14ac:dyDescent="0.25">
      <c r="A37" s="985" t="s">
        <v>5235</v>
      </c>
      <c r="B37" s="986"/>
      <c r="C37" s="986"/>
      <c r="D37" s="986"/>
      <c r="E37" s="986"/>
      <c r="F37" s="986"/>
      <c r="G37" s="986"/>
      <c r="H37" s="986"/>
      <c r="I37" s="666">
        <v>192.99</v>
      </c>
      <c r="J37" s="628" t="s">
        <v>2682</v>
      </c>
    </row>
    <row r="38" spans="1:11" ht="15.75" thickBot="1" x14ac:dyDescent="0.3">
      <c r="A38" s="985"/>
      <c r="B38" s="986"/>
      <c r="C38" s="986"/>
      <c r="D38" s="986"/>
      <c r="E38" s="986"/>
      <c r="F38" s="986"/>
      <c r="G38" s="986"/>
      <c r="H38" s="986"/>
      <c r="I38" s="666"/>
      <c r="J38" s="628"/>
    </row>
    <row r="39" spans="1:11" s="255" customFormat="1" ht="18" thickBot="1" x14ac:dyDescent="0.3">
      <c r="A39" s="952" t="s">
        <v>3047</v>
      </c>
      <c r="B39" s="953"/>
      <c r="C39" s="953"/>
      <c r="D39" s="953"/>
      <c r="E39" s="953"/>
      <c r="F39" s="953"/>
      <c r="G39" s="953"/>
      <c r="H39" s="953"/>
      <c r="I39" s="954"/>
      <c r="J39" s="635" t="s">
        <v>5318</v>
      </c>
      <c r="K39" s="615"/>
    </row>
    <row r="40" spans="1:11" s="255" customFormat="1" x14ac:dyDescent="0.25">
      <c r="A40" s="941" t="s">
        <v>290</v>
      </c>
      <c r="B40" s="942"/>
      <c r="C40" s="942"/>
      <c r="D40" s="942"/>
      <c r="E40" s="942"/>
      <c r="F40" s="942"/>
      <c r="G40" s="942"/>
      <c r="H40" s="942"/>
      <c r="I40" s="665">
        <v>29.1</v>
      </c>
      <c r="J40" s="627" t="s">
        <v>103</v>
      </c>
      <c r="K40" s="615"/>
    </row>
    <row r="41" spans="1:11" s="255" customFormat="1" x14ac:dyDescent="0.25">
      <c r="A41" s="948" t="s">
        <v>286</v>
      </c>
      <c r="B41" s="949"/>
      <c r="C41" s="949"/>
      <c r="D41" s="949"/>
      <c r="E41" s="949"/>
      <c r="F41" s="949"/>
      <c r="G41" s="949"/>
      <c r="H41" s="949"/>
      <c r="I41" s="665">
        <v>2.5</v>
      </c>
      <c r="J41" s="619" t="s">
        <v>104</v>
      </c>
      <c r="K41" s="643"/>
    </row>
    <row r="42" spans="1:11" s="255" customFormat="1" x14ac:dyDescent="0.25">
      <c r="A42" s="948" t="s">
        <v>284</v>
      </c>
      <c r="B42" s="949"/>
      <c r="C42" s="949"/>
      <c r="D42" s="949"/>
      <c r="E42" s="949"/>
      <c r="F42" s="949"/>
      <c r="G42" s="949"/>
      <c r="H42" s="949"/>
      <c r="I42" s="665">
        <f>I41</f>
        <v>2.5</v>
      </c>
      <c r="J42" s="619" t="s">
        <v>104</v>
      </c>
      <c r="K42" s="643"/>
    </row>
    <row r="43" spans="1:11" s="255" customFormat="1" x14ac:dyDescent="0.25">
      <c r="A43" s="948" t="s">
        <v>287</v>
      </c>
      <c r="B43" s="949"/>
      <c r="C43" s="949"/>
      <c r="D43" s="949"/>
      <c r="E43" s="949"/>
      <c r="F43" s="949"/>
      <c r="G43" s="949"/>
      <c r="H43" s="949"/>
      <c r="I43" s="665">
        <v>83</v>
      </c>
      <c r="J43" s="619" t="s">
        <v>71</v>
      </c>
      <c r="K43" s="615"/>
    </row>
    <row r="44" spans="1:11" s="255" customFormat="1" x14ac:dyDescent="0.25">
      <c r="A44" s="948" t="s">
        <v>291</v>
      </c>
      <c r="B44" s="949"/>
      <c r="C44" s="949"/>
      <c r="D44" s="949"/>
      <c r="E44" s="949"/>
      <c r="F44" s="949"/>
      <c r="G44" s="949"/>
      <c r="H44" s="949"/>
      <c r="I44" s="665">
        <v>33</v>
      </c>
      <c r="J44" s="619" t="s">
        <v>71</v>
      </c>
      <c r="K44" s="615"/>
    </row>
    <row r="45" spans="1:11" x14ac:dyDescent="0.25">
      <c r="A45" s="887" t="s">
        <v>5338</v>
      </c>
      <c r="B45" s="888"/>
      <c r="C45" s="888"/>
      <c r="D45" s="888"/>
      <c r="E45" s="888"/>
      <c r="F45" s="888"/>
      <c r="G45" s="888"/>
      <c r="H45" s="888"/>
      <c r="I45" s="665">
        <v>47</v>
      </c>
      <c r="J45" s="628" t="s">
        <v>2682</v>
      </c>
    </row>
    <row r="46" spans="1:11" x14ac:dyDescent="0.25">
      <c r="A46" s="887" t="s">
        <v>5235</v>
      </c>
      <c r="B46" s="888"/>
      <c r="C46" s="888"/>
      <c r="D46" s="888"/>
      <c r="E46" s="888"/>
      <c r="F46" s="888"/>
      <c r="G46" s="888"/>
      <c r="H46" s="888"/>
      <c r="I46" s="665">
        <v>64</v>
      </c>
      <c r="J46" s="628" t="s">
        <v>2682</v>
      </c>
    </row>
    <row r="47" spans="1:11" x14ac:dyDescent="0.25">
      <c r="A47" s="887" t="s">
        <v>5288</v>
      </c>
      <c r="B47" s="888"/>
      <c r="C47" s="888"/>
      <c r="D47" s="888"/>
      <c r="E47" s="888"/>
      <c r="F47" s="888"/>
      <c r="G47" s="888"/>
      <c r="H47" s="888"/>
      <c r="I47" s="665">
        <v>569</v>
      </c>
      <c r="J47" s="628" t="s">
        <v>2682</v>
      </c>
    </row>
    <row r="48" spans="1:11" ht="15.75" thickBot="1" x14ac:dyDescent="0.3">
      <c r="A48" s="934" t="s">
        <v>5339</v>
      </c>
      <c r="B48" s="935"/>
      <c r="C48" s="935"/>
      <c r="D48" s="935"/>
      <c r="E48" s="935"/>
      <c r="F48" s="935"/>
      <c r="G48" s="935"/>
      <c r="H48" s="935"/>
      <c r="I48" s="665">
        <v>289</v>
      </c>
      <c r="J48" s="628" t="s">
        <v>2682</v>
      </c>
    </row>
    <row r="49" spans="1:10" ht="18" thickBot="1" x14ac:dyDescent="0.3">
      <c r="A49" s="1013" t="s">
        <v>256</v>
      </c>
      <c r="B49" s="1014"/>
      <c r="C49" s="1014"/>
      <c r="D49" s="1014"/>
      <c r="E49" s="1014"/>
      <c r="F49" s="1014"/>
      <c r="G49" s="1014"/>
      <c r="H49" s="1014"/>
      <c r="I49" s="1015"/>
      <c r="J49" s="257" t="s">
        <v>5318</v>
      </c>
    </row>
    <row r="50" spans="1:10" x14ac:dyDescent="0.25">
      <c r="A50" s="900" t="s">
        <v>5340</v>
      </c>
      <c r="B50" s="901"/>
      <c r="C50" s="901"/>
      <c r="D50" s="901"/>
      <c r="E50" s="901"/>
      <c r="F50" s="901"/>
      <c r="G50" s="901"/>
      <c r="H50" s="901"/>
      <c r="I50" s="664">
        <v>246.2</v>
      </c>
      <c r="J50" s="628" t="s">
        <v>61</v>
      </c>
    </row>
    <row r="51" spans="1:10" x14ac:dyDescent="0.25">
      <c r="A51" s="887" t="s">
        <v>5279</v>
      </c>
      <c r="B51" s="888"/>
      <c r="C51" s="888"/>
      <c r="D51" s="888"/>
      <c r="E51" s="888"/>
      <c r="F51" s="888"/>
      <c r="G51" s="888"/>
      <c r="H51" s="888"/>
      <c r="I51" s="665">
        <v>20.2</v>
      </c>
      <c r="J51" s="628" t="s">
        <v>89</v>
      </c>
    </row>
    <row r="52" spans="1:10" x14ac:dyDescent="0.25">
      <c r="A52" s="887" t="s">
        <v>5237</v>
      </c>
      <c r="B52" s="888"/>
      <c r="C52" s="888"/>
      <c r="D52" s="888"/>
      <c r="E52" s="888"/>
      <c r="F52" s="888"/>
      <c r="G52" s="888"/>
      <c r="H52" s="888"/>
      <c r="I52" s="665">
        <f>I51</f>
        <v>20.2</v>
      </c>
      <c r="J52" s="628" t="s">
        <v>89</v>
      </c>
    </row>
    <row r="53" spans="1:10" x14ac:dyDescent="0.25">
      <c r="A53" s="887" t="s">
        <v>5283</v>
      </c>
      <c r="B53" s="888"/>
      <c r="C53" s="888"/>
      <c r="D53" s="888"/>
      <c r="E53" s="888"/>
      <c r="F53" s="888"/>
      <c r="G53" s="888"/>
      <c r="H53" s="888"/>
      <c r="I53" s="665">
        <v>295</v>
      </c>
      <c r="J53" s="628" t="s">
        <v>2682</v>
      </c>
    </row>
    <row r="54" spans="1:10" x14ac:dyDescent="0.25">
      <c r="A54" s="887" t="s">
        <v>5284</v>
      </c>
      <c r="B54" s="888"/>
      <c r="C54" s="888"/>
      <c r="D54" s="888"/>
      <c r="E54" s="888"/>
      <c r="F54" s="888"/>
      <c r="G54" s="888"/>
      <c r="H54" s="888"/>
      <c r="I54" s="665">
        <v>0</v>
      </c>
      <c r="J54" s="628" t="s">
        <v>2682</v>
      </c>
    </row>
    <row r="55" spans="1:10" x14ac:dyDescent="0.25">
      <c r="A55" s="887" t="s">
        <v>5233</v>
      </c>
      <c r="B55" s="888"/>
      <c r="C55" s="888"/>
      <c r="D55" s="888"/>
      <c r="E55" s="888"/>
      <c r="F55" s="888"/>
      <c r="G55" s="888"/>
      <c r="H55" s="888"/>
      <c r="I55" s="665">
        <v>411</v>
      </c>
      <c r="J55" s="628" t="s">
        <v>2682</v>
      </c>
    </row>
    <row r="56" spans="1:10" x14ac:dyDescent="0.25">
      <c r="A56" s="887" t="s">
        <v>5234</v>
      </c>
      <c r="B56" s="888"/>
      <c r="C56" s="888"/>
      <c r="D56" s="888"/>
      <c r="E56" s="888"/>
      <c r="F56" s="888"/>
      <c r="G56" s="888"/>
      <c r="H56" s="888"/>
      <c r="I56" s="665">
        <v>510</v>
      </c>
      <c r="J56" s="628" t="s">
        <v>2682</v>
      </c>
    </row>
    <row r="57" spans="1:10" x14ac:dyDescent="0.25">
      <c r="A57" s="887" t="s">
        <v>5235</v>
      </c>
      <c r="B57" s="888"/>
      <c r="C57" s="888"/>
      <c r="D57" s="888"/>
      <c r="E57" s="888"/>
      <c r="F57" s="888"/>
      <c r="G57" s="888"/>
      <c r="H57" s="888"/>
      <c r="I57" s="665">
        <v>50</v>
      </c>
      <c r="J57" s="628" t="s">
        <v>2682</v>
      </c>
    </row>
    <row r="58" spans="1:10" x14ac:dyDescent="0.25">
      <c r="A58" s="887" t="s">
        <v>5288</v>
      </c>
      <c r="B58" s="888"/>
      <c r="C58" s="888"/>
      <c r="D58" s="888"/>
      <c r="E58" s="888"/>
      <c r="F58" s="888"/>
      <c r="G58" s="888"/>
      <c r="H58" s="888"/>
      <c r="I58" s="665">
        <v>18</v>
      </c>
      <c r="J58" s="628" t="s">
        <v>2682</v>
      </c>
    </row>
    <row r="59" spans="1:10" ht="15.75" thickBot="1" x14ac:dyDescent="0.3">
      <c r="A59" s="934" t="s">
        <v>5339</v>
      </c>
      <c r="B59" s="935"/>
      <c r="C59" s="935"/>
      <c r="D59" s="935"/>
      <c r="E59" s="935"/>
      <c r="F59" s="935"/>
      <c r="G59" s="935"/>
      <c r="H59" s="935"/>
      <c r="I59" s="668">
        <v>0</v>
      </c>
      <c r="J59" s="628" t="s">
        <v>2682</v>
      </c>
    </row>
    <row r="60" spans="1:10" ht="15.75" customHeight="1" thickBot="1" x14ac:dyDescent="0.3">
      <c r="A60" s="673"/>
      <c r="B60" s="673"/>
      <c r="C60" s="673"/>
      <c r="D60" s="673"/>
      <c r="E60" s="673"/>
      <c r="F60" s="673"/>
      <c r="G60" s="673"/>
      <c r="H60" s="673"/>
      <c r="J60" s="628"/>
    </row>
    <row r="61" spans="1:10" ht="18" thickBot="1" x14ac:dyDescent="0.3">
      <c r="A61" s="1019" t="s">
        <v>257</v>
      </c>
      <c r="B61" s="1020"/>
      <c r="C61" s="1020"/>
      <c r="D61" s="1020"/>
      <c r="E61" s="1020"/>
      <c r="F61" s="1020"/>
      <c r="G61" s="1020"/>
      <c r="H61" s="1020"/>
      <c r="I61" s="1021"/>
      <c r="J61" s="628"/>
    </row>
    <row r="62" spans="1:10" ht="18" thickBot="1" x14ac:dyDescent="0.3">
      <c r="A62" s="1013" t="s">
        <v>258</v>
      </c>
      <c r="B62" s="1014"/>
      <c r="C62" s="1014"/>
      <c r="D62" s="1014"/>
      <c r="E62" s="1014"/>
      <c r="F62" s="1014"/>
      <c r="G62" s="1014"/>
      <c r="H62" s="1014"/>
      <c r="I62" s="1015"/>
      <c r="J62" s="257" t="s">
        <v>5318</v>
      </c>
    </row>
    <row r="63" spans="1:10" x14ac:dyDescent="0.25">
      <c r="A63" s="900" t="s">
        <v>5287</v>
      </c>
      <c r="B63" s="901"/>
      <c r="C63" s="901"/>
      <c r="D63" s="901"/>
      <c r="E63" s="901"/>
      <c r="F63" s="901"/>
      <c r="G63" s="901"/>
      <c r="H63" s="901"/>
      <c r="I63" s="664">
        <f>138.6+123.8+237.7</f>
        <v>500.09999999999997</v>
      </c>
      <c r="J63" s="628" t="s">
        <v>61</v>
      </c>
    </row>
    <row r="64" spans="1:10" x14ac:dyDescent="0.25">
      <c r="A64" s="887" t="s">
        <v>5279</v>
      </c>
      <c r="B64" s="888"/>
      <c r="C64" s="888"/>
      <c r="D64" s="888"/>
      <c r="E64" s="888"/>
      <c r="F64" s="888"/>
      <c r="G64" s="888"/>
      <c r="H64" s="888"/>
      <c r="I64" s="665">
        <f>13.5+10.9+20.2</f>
        <v>44.599999999999994</v>
      </c>
      <c r="J64" s="628" t="s">
        <v>89</v>
      </c>
    </row>
    <row r="65" spans="1:10" x14ac:dyDescent="0.25">
      <c r="A65" s="887" t="s">
        <v>5237</v>
      </c>
      <c r="B65" s="888"/>
      <c r="C65" s="888"/>
      <c r="D65" s="888"/>
      <c r="E65" s="888"/>
      <c r="F65" s="888"/>
      <c r="G65" s="888"/>
      <c r="H65" s="888"/>
      <c r="I65" s="665">
        <f>I64</f>
        <v>44.599999999999994</v>
      </c>
      <c r="J65" s="628" t="s">
        <v>89</v>
      </c>
    </row>
    <row r="66" spans="1:10" x14ac:dyDescent="0.25">
      <c r="A66" s="887" t="s">
        <v>5283</v>
      </c>
      <c r="B66" s="888"/>
      <c r="C66" s="888"/>
      <c r="D66" s="888"/>
      <c r="E66" s="888"/>
      <c r="F66" s="888"/>
      <c r="G66" s="888"/>
      <c r="H66" s="888"/>
      <c r="I66" s="665">
        <f>223+181+305</f>
        <v>709</v>
      </c>
      <c r="J66" s="628" t="s">
        <v>2682</v>
      </c>
    </row>
    <row r="67" spans="1:10" x14ac:dyDescent="0.25">
      <c r="A67" s="887" t="s">
        <v>5284</v>
      </c>
      <c r="B67" s="888"/>
      <c r="C67" s="888"/>
      <c r="D67" s="888"/>
      <c r="E67" s="888"/>
      <c r="F67" s="888"/>
      <c r="G67" s="888"/>
      <c r="H67" s="888"/>
      <c r="I67" s="665">
        <f>47+45+71</f>
        <v>163</v>
      </c>
      <c r="J67" s="628" t="s">
        <v>2682</v>
      </c>
    </row>
    <row r="68" spans="1:10" x14ac:dyDescent="0.25">
      <c r="A68" s="887" t="s">
        <v>5233</v>
      </c>
      <c r="B68" s="888"/>
      <c r="C68" s="888"/>
      <c r="D68" s="888"/>
      <c r="E68" s="888"/>
      <c r="F68" s="888"/>
      <c r="G68" s="888"/>
      <c r="H68" s="888"/>
      <c r="I68" s="665">
        <f>43+0+4</f>
        <v>47</v>
      </c>
      <c r="J68" s="628" t="s">
        <v>2682</v>
      </c>
    </row>
    <row r="69" spans="1:10" x14ac:dyDescent="0.25">
      <c r="A69" s="887" t="s">
        <v>5234</v>
      </c>
      <c r="B69" s="888"/>
      <c r="C69" s="888"/>
      <c r="D69" s="888"/>
      <c r="E69" s="888"/>
      <c r="F69" s="888"/>
      <c r="G69" s="888"/>
      <c r="H69" s="888"/>
      <c r="I69" s="665">
        <f>324+300+130</f>
        <v>754</v>
      </c>
      <c r="J69" s="628" t="s">
        <v>2682</v>
      </c>
    </row>
    <row r="70" spans="1:10" x14ac:dyDescent="0.25">
      <c r="A70" s="887" t="s">
        <v>5235</v>
      </c>
      <c r="B70" s="888"/>
      <c r="C70" s="888"/>
      <c r="D70" s="888"/>
      <c r="E70" s="888"/>
      <c r="F70" s="888"/>
      <c r="G70" s="888"/>
      <c r="H70" s="888"/>
      <c r="I70" s="665">
        <f>69+76+746</f>
        <v>891</v>
      </c>
      <c r="J70" s="628" t="s">
        <v>2682</v>
      </c>
    </row>
    <row r="71" spans="1:10" x14ac:dyDescent="0.25">
      <c r="A71" s="887" t="s">
        <v>5288</v>
      </c>
      <c r="B71" s="888"/>
      <c r="C71" s="888"/>
      <c r="D71" s="888"/>
      <c r="E71" s="888"/>
      <c r="F71" s="888"/>
      <c r="G71" s="888"/>
      <c r="H71" s="888"/>
      <c r="I71" s="665">
        <v>0</v>
      </c>
      <c r="J71" s="628" t="s">
        <v>2682</v>
      </c>
    </row>
    <row r="72" spans="1:10" ht="15.75" thickBot="1" x14ac:dyDescent="0.3">
      <c r="A72" s="985" t="s">
        <v>5339</v>
      </c>
      <c r="B72" s="986"/>
      <c r="C72" s="986"/>
      <c r="D72" s="986"/>
      <c r="E72" s="986"/>
      <c r="F72" s="986"/>
      <c r="G72" s="986"/>
      <c r="H72" s="986"/>
      <c r="I72" s="666">
        <f>367+469+727</f>
        <v>1563</v>
      </c>
      <c r="J72" s="628" t="s">
        <v>2682</v>
      </c>
    </row>
    <row r="73" spans="1:10" ht="18" thickBot="1" x14ac:dyDescent="0.3">
      <c r="A73" s="1013" t="s">
        <v>259</v>
      </c>
      <c r="B73" s="1014"/>
      <c r="C73" s="1014"/>
      <c r="D73" s="1014"/>
      <c r="E73" s="1014"/>
      <c r="F73" s="1014"/>
      <c r="G73" s="1014"/>
      <c r="H73" s="1014"/>
      <c r="I73" s="1015"/>
      <c r="J73" s="257" t="s">
        <v>5318</v>
      </c>
    </row>
    <row r="74" spans="1:10" x14ac:dyDescent="0.25">
      <c r="A74" s="900" t="s">
        <v>5287</v>
      </c>
      <c r="B74" s="901"/>
      <c r="C74" s="901"/>
      <c r="D74" s="901"/>
      <c r="E74" s="901"/>
      <c r="F74" s="901"/>
      <c r="G74" s="901"/>
      <c r="H74" s="901"/>
      <c r="I74" s="664">
        <f>210.8+212.2+246.2</f>
        <v>669.2</v>
      </c>
      <c r="J74" s="628" t="s">
        <v>61</v>
      </c>
    </row>
    <row r="75" spans="1:10" x14ac:dyDescent="0.25">
      <c r="A75" s="887" t="s">
        <v>5279</v>
      </c>
      <c r="B75" s="888"/>
      <c r="C75" s="888"/>
      <c r="D75" s="888"/>
      <c r="E75" s="888"/>
      <c r="F75" s="888"/>
      <c r="G75" s="888"/>
      <c r="H75" s="888"/>
      <c r="I75" s="665">
        <f>18.1+18.2+20.2</f>
        <v>56.5</v>
      </c>
      <c r="J75" s="628" t="s">
        <v>89</v>
      </c>
    </row>
    <row r="76" spans="1:10" x14ac:dyDescent="0.25">
      <c r="A76" s="887" t="s">
        <v>5237</v>
      </c>
      <c r="B76" s="888"/>
      <c r="C76" s="888"/>
      <c r="D76" s="888"/>
      <c r="E76" s="888"/>
      <c r="F76" s="888"/>
      <c r="G76" s="888"/>
      <c r="H76" s="888"/>
      <c r="I76" s="665">
        <f>I75</f>
        <v>56.5</v>
      </c>
      <c r="J76" s="628" t="s">
        <v>89</v>
      </c>
    </row>
    <row r="77" spans="1:10" x14ac:dyDescent="0.25">
      <c r="A77" s="887" t="s">
        <v>5283</v>
      </c>
      <c r="B77" s="888"/>
      <c r="C77" s="888"/>
      <c r="D77" s="888"/>
      <c r="E77" s="888"/>
      <c r="F77" s="888"/>
      <c r="G77" s="888"/>
      <c r="H77" s="888"/>
      <c r="I77" s="665">
        <f>261+261+294</f>
        <v>816</v>
      </c>
      <c r="J77" s="628" t="s">
        <v>2682</v>
      </c>
    </row>
    <row r="78" spans="1:10" x14ac:dyDescent="0.25">
      <c r="A78" s="887" t="s">
        <v>5284</v>
      </c>
      <c r="B78" s="888"/>
      <c r="C78" s="888"/>
      <c r="D78" s="888"/>
      <c r="E78" s="888"/>
      <c r="F78" s="888"/>
      <c r="G78" s="888"/>
      <c r="H78" s="888"/>
      <c r="I78" s="665">
        <v>11</v>
      </c>
      <c r="J78" s="628" t="s">
        <v>2682</v>
      </c>
    </row>
    <row r="79" spans="1:10" x14ac:dyDescent="0.25">
      <c r="A79" s="887" t="s">
        <v>5233</v>
      </c>
      <c r="B79" s="888"/>
      <c r="C79" s="888"/>
      <c r="D79" s="888"/>
      <c r="E79" s="888"/>
      <c r="F79" s="888"/>
      <c r="G79" s="888"/>
      <c r="H79" s="888"/>
      <c r="I79" s="665">
        <f>390+390+412</f>
        <v>1192</v>
      </c>
      <c r="J79" s="628" t="s">
        <v>2682</v>
      </c>
    </row>
    <row r="80" spans="1:10" x14ac:dyDescent="0.25">
      <c r="A80" s="887" t="s">
        <v>5234</v>
      </c>
      <c r="B80" s="888"/>
      <c r="C80" s="888"/>
      <c r="D80" s="888"/>
      <c r="E80" s="888"/>
      <c r="F80" s="888"/>
      <c r="G80" s="888"/>
      <c r="H80" s="888"/>
      <c r="I80" s="665">
        <f>484+476+533</f>
        <v>1493</v>
      </c>
      <c r="J80" s="628" t="s">
        <v>2682</v>
      </c>
    </row>
    <row r="81" spans="1:11" ht="15.75" thickBot="1" x14ac:dyDescent="0.3">
      <c r="A81" s="934" t="s">
        <v>5235</v>
      </c>
      <c r="B81" s="935"/>
      <c r="C81" s="935"/>
      <c r="D81" s="935"/>
      <c r="E81" s="935"/>
      <c r="F81" s="935"/>
      <c r="G81" s="935"/>
      <c r="H81" s="935"/>
      <c r="I81" s="668">
        <f>0+0+20</f>
        <v>20</v>
      </c>
      <c r="J81" s="628" t="s">
        <v>2682</v>
      </c>
    </row>
    <row r="82" spans="1:11" ht="18" thickBot="1" x14ac:dyDescent="0.3">
      <c r="A82" s="1013" t="s">
        <v>263</v>
      </c>
      <c r="B82" s="1014"/>
      <c r="C82" s="1014"/>
      <c r="D82" s="1014"/>
      <c r="E82" s="1014"/>
      <c r="F82" s="1014"/>
      <c r="G82" s="1014"/>
      <c r="H82" s="1014"/>
      <c r="I82" s="1015"/>
      <c r="J82" s="257" t="s">
        <v>5318</v>
      </c>
    </row>
    <row r="83" spans="1:11" x14ac:dyDescent="0.25">
      <c r="A83" s="900" t="s">
        <v>5341</v>
      </c>
      <c r="B83" s="901"/>
      <c r="C83" s="901"/>
      <c r="D83" s="901"/>
      <c r="E83" s="901"/>
      <c r="F83" s="901"/>
      <c r="G83" s="901"/>
      <c r="H83" s="901"/>
      <c r="I83" s="664">
        <f>15.04*3.945</f>
        <v>59.332799999999992</v>
      </c>
      <c r="J83" s="628" t="s">
        <v>61</v>
      </c>
    </row>
    <row r="84" spans="1:11" ht="15.75" thickBot="1" x14ac:dyDescent="0.3">
      <c r="A84" s="887" t="s">
        <v>5332</v>
      </c>
      <c r="B84" s="888"/>
      <c r="C84" s="888"/>
      <c r="D84" s="888"/>
      <c r="E84" s="888"/>
      <c r="F84" s="888"/>
      <c r="G84" s="888"/>
      <c r="H84" s="888"/>
      <c r="I84" s="670">
        <f>I83*1.2</f>
        <v>71.199359999999984</v>
      </c>
      <c r="J84" s="628" t="s">
        <v>103</v>
      </c>
    </row>
    <row r="85" spans="1:11" ht="17.25" x14ac:dyDescent="0.25">
      <c r="A85" s="1016" t="s">
        <v>5342</v>
      </c>
      <c r="B85" s="1017"/>
      <c r="C85" s="1017"/>
      <c r="D85" s="1017"/>
      <c r="E85" s="1017"/>
      <c r="F85" s="1017"/>
      <c r="G85" s="1017"/>
      <c r="H85" s="1017"/>
      <c r="I85" s="1018"/>
      <c r="J85" s="257" t="s">
        <v>5318</v>
      </c>
    </row>
    <row r="86" spans="1:11" ht="14.45" customHeight="1" x14ac:dyDescent="0.25">
      <c r="A86" s="920" t="s">
        <v>260</v>
      </c>
      <c r="B86" s="921"/>
      <c r="C86" s="921"/>
      <c r="D86" s="921"/>
      <c r="E86" s="921"/>
      <c r="F86" s="921"/>
      <c r="G86" s="921"/>
      <c r="H86" s="921"/>
      <c r="I86" s="111">
        <f>20213.97+11918.71+620.48+19.15+917.2</f>
        <v>33689.509999999995</v>
      </c>
      <c r="J86" s="628" t="s">
        <v>5343</v>
      </c>
      <c r="K86" s="674">
        <f>I86+I88</f>
        <v>34854.999999999993</v>
      </c>
    </row>
    <row r="87" spans="1:11" ht="14.45" customHeight="1" x14ac:dyDescent="0.25">
      <c r="A87" s="889" t="s">
        <v>261</v>
      </c>
      <c r="B87" s="890"/>
      <c r="C87" s="890"/>
      <c r="D87" s="890"/>
      <c r="E87" s="890"/>
      <c r="F87" s="890"/>
      <c r="G87" s="890"/>
      <c r="H87" s="890"/>
      <c r="I87" s="342">
        <f>1053.1</f>
        <v>1053.0999999999999</v>
      </c>
      <c r="J87" s="628" t="s">
        <v>5344</v>
      </c>
    </row>
    <row r="88" spans="1:11" ht="14.45" customHeight="1" thickBot="1" x14ac:dyDescent="0.3">
      <c r="A88" s="902" t="s">
        <v>5345</v>
      </c>
      <c r="B88" s="903"/>
      <c r="C88" s="903"/>
      <c r="D88" s="903"/>
      <c r="E88" s="903"/>
      <c r="F88" s="903"/>
      <c r="G88" s="903"/>
      <c r="H88" s="903"/>
      <c r="I88" s="112">
        <f>1165.49</f>
        <v>1165.49</v>
      </c>
      <c r="J88" s="628" t="s">
        <v>5343</v>
      </c>
    </row>
    <row r="89" spans="1:11" ht="15.75" thickBot="1" x14ac:dyDescent="0.3"/>
    <row r="90" spans="1:11" ht="18" thickBot="1" x14ac:dyDescent="0.3">
      <c r="A90" s="975" t="s">
        <v>5346</v>
      </c>
      <c r="B90" s="976"/>
      <c r="C90" s="976"/>
      <c r="D90" s="976"/>
      <c r="E90" s="976"/>
      <c r="F90" s="976"/>
      <c r="G90" s="976"/>
      <c r="H90" s="976"/>
      <c r="I90" s="1012"/>
      <c r="J90" s="257" t="s">
        <v>5318</v>
      </c>
    </row>
    <row r="91" spans="1:11" x14ac:dyDescent="0.25">
      <c r="A91" s="920" t="s">
        <v>260</v>
      </c>
      <c r="B91" s="921"/>
      <c r="C91" s="921"/>
      <c r="D91" s="921"/>
      <c r="E91" s="921"/>
      <c r="F91" s="921"/>
      <c r="G91" s="921"/>
      <c r="H91" s="921"/>
      <c r="I91" s="111">
        <f>20.55+633.39+9.04</f>
        <v>662.9799999999999</v>
      </c>
      <c r="J91" s="343" t="s">
        <v>71</v>
      </c>
    </row>
    <row r="92" spans="1:11" x14ac:dyDescent="0.25">
      <c r="A92" s="889" t="s">
        <v>261</v>
      </c>
      <c r="B92" s="890"/>
      <c r="C92" s="890"/>
      <c r="D92" s="890"/>
      <c r="E92" s="890"/>
      <c r="F92" s="890"/>
      <c r="G92" s="890"/>
      <c r="H92" s="890"/>
      <c r="I92" s="342">
        <f>75.27</f>
        <v>75.27</v>
      </c>
      <c r="J92" s="343" t="s">
        <v>103</v>
      </c>
    </row>
    <row r="93" spans="1:11" ht="15.75" thickBot="1" x14ac:dyDescent="0.3">
      <c r="A93" s="902" t="s">
        <v>5347</v>
      </c>
      <c r="B93" s="903"/>
      <c r="C93" s="903"/>
      <c r="D93" s="903"/>
      <c r="E93" s="903"/>
      <c r="F93" s="903"/>
      <c r="G93" s="903"/>
      <c r="H93" s="903"/>
      <c r="I93" s="112">
        <f>10.56</f>
        <v>10.56</v>
      </c>
      <c r="J93" s="344" t="s">
        <v>71</v>
      </c>
    </row>
    <row r="94" spans="1:11" ht="15.75" thickBot="1" x14ac:dyDescent="0.3"/>
    <row r="95" spans="1:11" ht="18" thickBot="1" x14ac:dyDescent="0.3">
      <c r="A95" s="1010" t="s">
        <v>3273</v>
      </c>
      <c r="B95" s="1011"/>
      <c r="C95" s="1011"/>
      <c r="D95" s="1011"/>
      <c r="E95" s="1011"/>
      <c r="F95" s="1011"/>
      <c r="G95" s="1011"/>
      <c r="H95" s="675">
        <v>50</v>
      </c>
      <c r="I95" s="676" t="s">
        <v>75</v>
      </c>
      <c r="J95" s="101" t="s">
        <v>5</v>
      </c>
    </row>
    <row r="96" spans="1:11" x14ac:dyDescent="0.25">
      <c r="A96" s="920" t="s">
        <v>290</v>
      </c>
      <c r="B96" s="921"/>
      <c r="C96" s="921"/>
      <c r="D96" s="921"/>
      <c r="E96" s="921"/>
      <c r="F96" s="921"/>
      <c r="G96" s="921"/>
      <c r="H96" s="921"/>
      <c r="I96" s="111">
        <f>H95*((0.08+0.54+0.08)+(0.08+1.34+0.08)+(0.08+2.14+0.08))</f>
        <v>225</v>
      </c>
      <c r="J96" s="104" t="s">
        <v>103</v>
      </c>
    </row>
    <row r="97" spans="1:10" x14ac:dyDescent="0.25">
      <c r="A97" s="889" t="s">
        <v>286</v>
      </c>
      <c r="B97" s="890"/>
      <c r="C97" s="890"/>
      <c r="D97" s="890"/>
      <c r="E97" s="890"/>
      <c r="F97" s="890"/>
      <c r="G97" s="890"/>
      <c r="H97" s="890"/>
      <c r="I97" s="342">
        <f>H95*0.08*(2.14+0.8+0.54+0.54)+H95*(9*0.4*0.09*0.14)</f>
        <v>18.348000000000003</v>
      </c>
      <c r="J97" s="343" t="s">
        <v>104</v>
      </c>
    </row>
    <row r="98" spans="1:10" ht="15.75" thickBot="1" x14ac:dyDescent="0.3">
      <c r="A98" s="889" t="s">
        <v>284</v>
      </c>
      <c r="B98" s="890"/>
      <c r="C98" s="890"/>
      <c r="D98" s="890"/>
      <c r="E98" s="890"/>
      <c r="F98" s="890"/>
      <c r="G98" s="890"/>
      <c r="H98" s="890"/>
      <c r="I98" s="342">
        <f>I97</f>
        <v>18.348000000000003</v>
      </c>
      <c r="J98" s="343" t="s">
        <v>104</v>
      </c>
    </row>
    <row r="99" spans="1:10" x14ac:dyDescent="0.25">
      <c r="A99" s="889" t="s">
        <v>5348</v>
      </c>
      <c r="B99" s="890"/>
      <c r="C99" s="890"/>
      <c r="D99" s="890"/>
      <c r="E99" s="890"/>
      <c r="F99" s="890"/>
      <c r="G99" s="890"/>
      <c r="H99" s="890"/>
      <c r="I99" s="342">
        <f>H95*4.82</f>
        <v>241</v>
      </c>
      <c r="J99" s="104" t="s">
        <v>103</v>
      </c>
    </row>
    <row r="100" spans="1:10" ht="15.75" thickBot="1" x14ac:dyDescent="0.3">
      <c r="A100" s="889" t="s">
        <v>292</v>
      </c>
      <c r="B100" s="890"/>
      <c r="C100" s="890"/>
      <c r="D100" s="890"/>
      <c r="E100" s="890"/>
      <c r="F100" s="890"/>
      <c r="G100" s="890"/>
      <c r="H100" s="890"/>
      <c r="I100" s="342">
        <f>H95*(9+0.71+1.19+2*1.67)</f>
        <v>712</v>
      </c>
      <c r="J100" s="343" t="s">
        <v>71</v>
      </c>
    </row>
    <row r="101" spans="1:10" ht="29.25" customHeight="1" thickBot="1" x14ac:dyDescent="0.3">
      <c r="A101" s="934" t="s">
        <v>5349</v>
      </c>
      <c r="B101" s="935"/>
      <c r="C101" s="935"/>
      <c r="D101" s="935"/>
      <c r="E101" s="935"/>
      <c r="F101" s="935"/>
      <c r="G101" s="935"/>
      <c r="H101" s="935"/>
      <c r="I101" s="112">
        <f>H95*9*0.4</f>
        <v>180</v>
      </c>
      <c r="J101" s="104" t="s">
        <v>103</v>
      </c>
    </row>
  </sheetData>
  <mergeCells count="98">
    <mergeCell ref="A1:J1"/>
    <mergeCell ref="A3:I3"/>
    <mergeCell ref="A4:H4"/>
    <mergeCell ref="K4:L6"/>
    <mergeCell ref="A5:H5"/>
    <mergeCell ref="A6:H6"/>
    <mergeCell ref="A18:H18"/>
    <mergeCell ref="A7:I7"/>
    <mergeCell ref="A8:I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30:I30"/>
    <mergeCell ref="A19:H19"/>
    <mergeCell ref="A20:H20"/>
    <mergeCell ref="A21:H21"/>
    <mergeCell ref="A22:H22"/>
    <mergeCell ref="A23:H23"/>
    <mergeCell ref="A24:I24"/>
    <mergeCell ref="A25:H25"/>
    <mergeCell ref="A26:H26"/>
    <mergeCell ref="A27:H27"/>
    <mergeCell ref="A28:H28"/>
    <mergeCell ref="A29:H29"/>
    <mergeCell ref="A42:H42"/>
    <mergeCell ref="A31:H31"/>
    <mergeCell ref="A32:H32"/>
    <mergeCell ref="A33:H33"/>
    <mergeCell ref="A34:H34"/>
    <mergeCell ref="A35:H35"/>
    <mergeCell ref="A36:H36"/>
    <mergeCell ref="A37:H37"/>
    <mergeCell ref="A38:H38"/>
    <mergeCell ref="A39:I39"/>
    <mergeCell ref="A40:H40"/>
    <mergeCell ref="A41:H41"/>
    <mergeCell ref="A54:H54"/>
    <mergeCell ref="A43:H43"/>
    <mergeCell ref="A44:H44"/>
    <mergeCell ref="A45:H45"/>
    <mergeCell ref="A46:H46"/>
    <mergeCell ref="A47:H47"/>
    <mergeCell ref="A48:H48"/>
    <mergeCell ref="A49:I49"/>
    <mergeCell ref="A50:H50"/>
    <mergeCell ref="A51:H51"/>
    <mergeCell ref="A52:H52"/>
    <mergeCell ref="A53:H53"/>
    <mergeCell ref="A67:H67"/>
    <mergeCell ref="A55:H55"/>
    <mergeCell ref="A56:H56"/>
    <mergeCell ref="A57:H57"/>
    <mergeCell ref="A58:H58"/>
    <mergeCell ref="A59:H59"/>
    <mergeCell ref="A61:I61"/>
    <mergeCell ref="A62:I62"/>
    <mergeCell ref="A63:H63"/>
    <mergeCell ref="A64:H64"/>
    <mergeCell ref="A65:H65"/>
    <mergeCell ref="A66:H66"/>
    <mergeCell ref="A79:H79"/>
    <mergeCell ref="A68:H68"/>
    <mergeCell ref="A69:H69"/>
    <mergeCell ref="A70:H70"/>
    <mergeCell ref="A71:H71"/>
    <mergeCell ref="A72:H72"/>
    <mergeCell ref="A73:I73"/>
    <mergeCell ref="A74:H74"/>
    <mergeCell ref="A75:H75"/>
    <mergeCell ref="A76:H76"/>
    <mergeCell ref="A77:H77"/>
    <mergeCell ref="A78:H78"/>
    <mergeCell ref="A92:H92"/>
    <mergeCell ref="A80:H80"/>
    <mergeCell ref="A81:H81"/>
    <mergeCell ref="A82:I82"/>
    <mergeCell ref="A83:H83"/>
    <mergeCell ref="A84:H84"/>
    <mergeCell ref="A85:I85"/>
    <mergeCell ref="A86:H86"/>
    <mergeCell ref="A87:H87"/>
    <mergeCell ref="A88:H88"/>
    <mergeCell ref="A90:I90"/>
    <mergeCell ref="A91:H91"/>
    <mergeCell ref="A100:H100"/>
    <mergeCell ref="A101:H101"/>
    <mergeCell ref="A93:H93"/>
    <mergeCell ref="A95:G95"/>
    <mergeCell ref="A96:H96"/>
    <mergeCell ref="A97:H97"/>
    <mergeCell ref="A98:H98"/>
    <mergeCell ref="A99:H99"/>
  </mergeCells>
  <pageMargins left="0.511811024" right="0.511811024" top="0.78740157499999996" bottom="0.78740157499999996" header="0.31496062000000002" footer="0.31496062000000002"/>
  <pageSetup paperSize="9" scale="9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9"/>
  <sheetViews>
    <sheetView view="pageBreakPreview" topLeftCell="A12" zoomScale="60" zoomScaleNormal="100" workbookViewId="0">
      <selection activeCell="A67" sqref="A67:H67"/>
    </sheetView>
  </sheetViews>
  <sheetFormatPr defaultRowHeight="15" x14ac:dyDescent="0.25"/>
  <cols>
    <col min="1" max="7" width="9.140625" style="345"/>
    <col min="8" max="8" width="17.28515625" style="345" customWidth="1"/>
    <col min="9" max="9" width="9.5703125" style="345" bestFit="1" customWidth="1"/>
    <col min="10" max="16" width="9.140625" style="345"/>
    <col min="17" max="17" width="12.5703125" style="345" bestFit="1" customWidth="1"/>
    <col min="18" max="18" width="16.7109375" style="345" bestFit="1" customWidth="1"/>
    <col min="19" max="19" width="19.28515625" style="345" bestFit="1" customWidth="1"/>
    <col min="20" max="16384" width="9.140625" style="345"/>
  </cols>
  <sheetData>
    <row r="1" spans="1:19" ht="60" customHeight="1" thickBot="1" x14ac:dyDescent="0.3">
      <c r="A1" s="990" t="s">
        <v>5350</v>
      </c>
      <c r="B1" s="991"/>
      <c r="C1" s="991"/>
      <c r="D1" s="991"/>
      <c r="E1" s="991"/>
      <c r="F1" s="991"/>
      <c r="G1" s="991"/>
      <c r="H1" s="991"/>
      <c r="I1" s="991"/>
      <c r="J1" s="992"/>
    </row>
    <row r="2" spans="1:19" ht="15.75" thickBot="1" x14ac:dyDescent="0.3"/>
    <row r="3" spans="1:19" ht="18" thickBot="1" x14ac:dyDescent="0.3">
      <c r="A3" s="972" t="s">
        <v>253</v>
      </c>
      <c r="B3" s="973"/>
      <c r="C3" s="973"/>
      <c r="D3" s="973"/>
      <c r="E3" s="973"/>
      <c r="F3" s="973"/>
      <c r="G3" s="973"/>
      <c r="H3" s="973"/>
      <c r="I3" s="1030"/>
      <c r="J3" s="101" t="s">
        <v>5</v>
      </c>
    </row>
    <row r="4" spans="1:19" ht="30" customHeight="1" x14ac:dyDescent="0.25">
      <c r="A4" s="900" t="s">
        <v>268</v>
      </c>
      <c r="B4" s="901"/>
      <c r="C4" s="901"/>
      <c r="D4" s="901"/>
      <c r="E4" s="901"/>
      <c r="F4" s="901"/>
      <c r="G4" s="901"/>
      <c r="H4" s="901"/>
      <c r="I4" s="111">
        <f>0.4*528.05</f>
        <v>211.22</v>
      </c>
      <c r="J4" s="102" t="s">
        <v>104</v>
      </c>
      <c r="K4" s="970" t="s">
        <v>5294</v>
      </c>
      <c r="L4" s="971"/>
    </row>
    <row r="5" spans="1:19" ht="45" customHeight="1" x14ac:dyDescent="0.25">
      <c r="A5" s="887" t="s">
        <v>269</v>
      </c>
      <c r="B5" s="888"/>
      <c r="C5" s="888"/>
      <c r="D5" s="888"/>
      <c r="E5" s="888"/>
      <c r="F5" s="888"/>
      <c r="G5" s="888"/>
      <c r="H5" s="888"/>
      <c r="I5" s="342">
        <f>2*528.05</f>
        <v>1056.0999999999999</v>
      </c>
      <c r="J5" s="102" t="s">
        <v>103</v>
      </c>
      <c r="K5" s="970"/>
      <c r="L5" s="971"/>
    </row>
    <row r="6" spans="1:19" ht="15.75" thickBot="1" x14ac:dyDescent="0.3">
      <c r="A6" s="902" t="s">
        <v>270</v>
      </c>
      <c r="B6" s="903"/>
      <c r="C6" s="903"/>
      <c r="D6" s="903"/>
      <c r="E6" s="903"/>
      <c r="F6" s="903"/>
      <c r="G6" s="903"/>
      <c r="H6" s="903"/>
      <c r="I6" s="112">
        <f>I4</f>
        <v>211.22</v>
      </c>
      <c r="J6" s="102" t="s">
        <v>104</v>
      </c>
      <c r="K6" s="970"/>
      <c r="L6" s="971"/>
    </row>
    <row r="7" spans="1:19" ht="15.75" thickBot="1" x14ac:dyDescent="0.3"/>
    <row r="8" spans="1:19" ht="19.5" thickBot="1" x14ac:dyDescent="0.3">
      <c r="A8" s="993" t="s">
        <v>254</v>
      </c>
      <c r="B8" s="994"/>
      <c r="C8" s="994"/>
      <c r="D8" s="994"/>
      <c r="E8" s="994"/>
      <c r="F8" s="994"/>
      <c r="G8" s="994"/>
      <c r="H8" s="994"/>
      <c r="I8" s="995"/>
      <c r="L8" s="1005" t="s">
        <v>271</v>
      </c>
      <c r="M8" s="1006"/>
      <c r="N8" s="1006"/>
      <c r="O8" s="1006"/>
      <c r="P8" s="1006"/>
      <c r="Q8" s="1006"/>
      <c r="R8" s="1006"/>
      <c r="S8" s="1007"/>
    </row>
    <row r="9" spans="1:19" ht="18" thickBot="1" x14ac:dyDescent="0.3">
      <c r="A9" s="975" t="s">
        <v>255</v>
      </c>
      <c r="B9" s="976"/>
      <c r="C9" s="976"/>
      <c r="D9" s="976"/>
      <c r="E9" s="976"/>
      <c r="F9" s="976"/>
      <c r="G9" s="976"/>
      <c r="H9" s="976"/>
      <c r="I9" s="977"/>
      <c r="J9" s="103" t="s">
        <v>5</v>
      </c>
      <c r="L9" s="1008" t="s">
        <v>5351</v>
      </c>
      <c r="M9" s="1009"/>
      <c r="N9" s="1009"/>
      <c r="O9" s="1009"/>
      <c r="P9" s="1009"/>
      <c r="Q9" s="1009"/>
      <c r="R9" s="1009"/>
      <c r="S9" s="1009"/>
    </row>
    <row r="10" spans="1:19" ht="30" customHeight="1" x14ac:dyDescent="0.25">
      <c r="A10" s="900" t="s">
        <v>1119</v>
      </c>
      <c r="B10" s="901"/>
      <c r="C10" s="901"/>
      <c r="D10" s="901"/>
      <c r="E10" s="901"/>
      <c r="F10" s="901"/>
      <c r="G10" s="901"/>
      <c r="H10" s="901"/>
      <c r="I10" s="111">
        <f>R12+R15</f>
        <v>79.607000000000014</v>
      </c>
      <c r="J10" s="104" t="s">
        <v>104</v>
      </c>
      <c r="L10" s="1027" t="s">
        <v>5352</v>
      </c>
      <c r="M10" s="1028"/>
      <c r="N10" s="1028"/>
      <c r="O10" s="1028"/>
      <c r="P10" s="1028"/>
      <c r="Q10" s="1028"/>
      <c r="R10" s="1028"/>
      <c r="S10" s="1029"/>
    </row>
    <row r="11" spans="1:19" ht="45" customHeight="1" x14ac:dyDescent="0.25">
      <c r="A11" s="887" t="s">
        <v>272</v>
      </c>
      <c r="B11" s="888"/>
      <c r="C11" s="888"/>
      <c r="D11" s="888"/>
      <c r="E11" s="888"/>
      <c r="F11" s="888"/>
      <c r="G11" s="888"/>
      <c r="H11" s="888"/>
      <c r="I11" s="342">
        <f>(I37/0.15)*0.55</f>
        <v>31.57</v>
      </c>
      <c r="J11" s="343" t="s">
        <v>104</v>
      </c>
      <c r="L11" s="105" t="s">
        <v>102</v>
      </c>
      <c r="M11" s="106" t="s">
        <v>273</v>
      </c>
      <c r="N11" s="106" t="s">
        <v>274</v>
      </c>
      <c r="O11" s="106" t="s">
        <v>275</v>
      </c>
      <c r="P11" s="106" t="s">
        <v>1121</v>
      </c>
      <c r="Q11" s="106" t="s">
        <v>1122</v>
      </c>
      <c r="R11" s="106" t="s">
        <v>150</v>
      </c>
      <c r="S11" s="106" t="s">
        <v>151</v>
      </c>
    </row>
    <row r="12" spans="1:19" ht="22.5" customHeight="1" x14ac:dyDescent="0.25">
      <c r="A12" s="900" t="s">
        <v>1120</v>
      </c>
      <c r="B12" s="901"/>
      <c r="C12" s="901"/>
      <c r="D12" s="901"/>
      <c r="E12" s="901"/>
      <c r="F12" s="901"/>
      <c r="G12" s="901"/>
      <c r="H12" s="901"/>
      <c r="I12" s="111">
        <f>I10-I28</f>
        <v>55.087000000000018</v>
      </c>
      <c r="J12" s="343" t="s">
        <v>104</v>
      </c>
      <c r="L12" s="107">
        <v>20</v>
      </c>
      <c r="M12" s="108">
        <v>2.1</v>
      </c>
      <c r="N12" s="108">
        <v>1.2</v>
      </c>
      <c r="O12" s="109">
        <f>M12*N12</f>
        <v>2.52</v>
      </c>
      <c r="P12" s="108">
        <v>0.7</v>
      </c>
      <c r="Q12" s="108">
        <v>0.4</v>
      </c>
      <c r="R12" s="109">
        <f>O12*(P12+Q12)*L12</f>
        <v>55.440000000000005</v>
      </c>
      <c r="S12" s="109">
        <f>O12*L12</f>
        <v>50.4</v>
      </c>
    </row>
    <row r="13" spans="1:19" ht="21.75" customHeight="1" x14ac:dyDescent="0.25">
      <c r="A13" s="900" t="s">
        <v>1123</v>
      </c>
      <c r="B13" s="901"/>
      <c r="C13" s="901"/>
      <c r="D13" s="901"/>
      <c r="E13" s="901"/>
      <c r="F13" s="901"/>
      <c r="G13" s="901"/>
      <c r="H13" s="901"/>
      <c r="I13" s="111">
        <f>I28*1.4</f>
        <v>34.327999999999996</v>
      </c>
      <c r="J13" s="343" t="s">
        <v>104</v>
      </c>
      <c r="L13" s="1027" t="s">
        <v>5353</v>
      </c>
      <c r="M13" s="1028"/>
      <c r="N13" s="1028"/>
      <c r="O13" s="1028"/>
      <c r="P13" s="1028"/>
      <c r="Q13" s="1028"/>
      <c r="R13" s="1028"/>
      <c r="S13" s="1029"/>
    </row>
    <row r="14" spans="1:19" x14ac:dyDescent="0.25">
      <c r="A14" s="889" t="s">
        <v>1124</v>
      </c>
      <c r="B14" s="890"/>
      <c r="C14" s="890"/>
      <c r="D14" s="890"/>
      <c r="E14" s="890"/>
      <c r="F14" s="890"/>
      <c r="G14" s="890"/>
      <c r="H14" s="890"/>
      <c r="I14" s="342">
        <f>S12+S15</f>
        <v>72.37</v>
      </c>
      <c r="J14" s="343" t="s">
        <v>103</v>
      </c>
      <c r="L14" s="105" t="s">
        <v>102</v>
      </c>
      <c r="M14" s="106" t="s">
        <v>273</v>
      </c>
      <c r="N14" s="106" t="s">
        <v>274</v>
      </c>
      <c r="O14" s="106" t="s">
        <v>275</v>
      </c>
      <c r="P14" s="106" t="s">
        <v>1121</v>
      </c>
      <c r="Q14" s="106" t="s">
        <v>1122</v>
      </c>
      <c r="R14" s="106" t="s">
        <v>150</v>
      </c>
      <c r="S14" s="106" t="s">
        <v>151</v>
      </c>
    </row>
    <row r="15" spans="1:19" ht="30" customHeight="1" x14ac:dyDescent="0.25">
      <c r="A15" s="887" t="s">
        <v>278</v>
      </c>
      <c r="B15" s="888"/>
      <c r="C15" s="888"/>
      <c r="D15" s="888"/>
      <c r="E15" s="888"/>
      <c r="F15" s="888"/>
      <c r="G15" s="888"/>
      <c r="H15" s="888"/>
      <c r="I15" s="342">
        <f>I11/0.4</f>
        <v>78.924999999999997</v>
      </c>
      <c r="J15" s="343" t="s">
        <v>103</v>
      </c>
      <c r="L15" s="107">
        <v>13</v>
      </c>
      <c r="M15" s="108">
        <v>1.3</v>
      </c>
      <c r="N15" s="108">
        <v>1.3</v>
      </c>
      <c r="O15" s="109">
        <f>M15*N15</f>
        <v>1.6900000000000002</v>
      </c>
      <c r="P15" s="108">
        <v>0.7</v>
      </c>
      <c r="Q15" s="108">
        <v>0.4</v>
      </c>
      <c r="R15" s="109">
        <f>O15*(P15+Q15)*L15</f>
        <v>24.167000000000005</v>
      </c>
      <c r="S15" s="109">
        <f>O15*L15</f>
        <v>21.970000000000002</v>
      </c>
    </row>
    <row r="16" spans="1:19" x14ac:dyDescent="0.25">
      <c r="A16" s="889" t="s">
        <v>5354</v>
      </c>
      <c r="B16" s="890"/>
      <c r="C16" s="890"/>
      <c r="D16" s="890"/>
      <c r="E16" s="890"/>
      <c r="F16" s="890"/>
      <c r="G16" s="890"/>
      <c r="H16" s="890"/>
      <c r="I16" s="342">
        <f>I14</f>
        <v>72.37</v>
      </c>
      <c r="J16" s="343" t="s">
        <v>61</v>
      </c>
    </row>
    <row r="17" spans="1:10" x14ac:dyDescent="0.25">
      <c r="A17" s="912" t="s">
        <v>279</v>
      </c>
      <c r="B17" s="913"/>
      <c r="C17" s="913"/>
      <c r="D17" s="913"/>
      <c r="E17" s="913"/>
      <c r="F17" s="913"/>
      <c r="G17" s="913"/>
      <c r="H17" s="913"/>
      <c r="I17" s="113">
        <f>I15</f>
        <v>78.924999999999997</v>
      </c>
      <c r="J17" s="343" t="s">
        <v>61</v>
      </c>
    </row>
    <row r="18" spans="1:10" x14ac:dyDescent="0.25">
      <c r="A18" s="999" t="s">
        <v>280</v>
      </c>
      <c r="B18" s="1000"/>
      <c r="C18" s="1000"/>
      <c r="D18" s="1000"/>
      <c r="E18" s="1000"/>
      <c r="F18" s="1000"/>
      <c r="G18" s="1000"/>
      <c r="H18" s="1001"/>
      <c r="I18" s="113">
        <f>I20*0.05</f>
        <v>18.922499999999999</v>
      </c>
      <c r="J18" s="343" t="s">
        <v>104</v>
      </c>
    </row>
    <row r="19" spans="1:10" ht="30" customHeight="1" x14ac:dyDescent="0.25">
      <c r="A19" s="1025" t="s">
        <v>281</v>
      </c>
      <c r="B19" s="1026"/>
      <c r="C19" s="1026"/>
      <c r="D19" s="1026"/>
      <c r="E19" s="1026"/>
      <c r="F19" s="1026"/>
      <c r="G19" s="1026"/>
      <c r="H19" s="1026"/>
      <c r="I19" s="677">
        <f>I36</f>
        <v>119.43</v>
      </c>
      <c r="J19" s="678" t="s">
        <v>103</v>
      </c>
    </row>
    <row r="20" spans="1:10" ht="15" customHeight="1" x14ac:dyDescent="0.25">
      <c r="A20" s="888" t="s">
        <v>282</v>
      </c>
      <c r="B20" s="888"/>
      <c r="C20" s="888"/>
      <c r="D20" s="888"/>
      <c r="E20" s="888"/>
      <c r="F20" s="888"/>
      <c r="G20" s="888"/>
      <c r="H20" s="888"/>
      <c r="I20" s="342">
        <f>378.45</f>
        <v>378.45</v>
      </c>
      <c r="J20" s="343" t="s">
        <v>103</v>
      </c>
    </row>
    <row r="21" spans="1:10" ht="15" customHeight="1" thickBot="1" x14ac:dyDescent="0.3">
      <c r="A21" s="987" t="s">
        <v>5269</v>
      </c>
      <c r="B21" s="988"/>
      <c r="C21" s="988"/>
      <c r="D21" s="988"/>
      <c r="E21" s="988"/>
      <c r="F21" s="988"/>
      <c r="G21" s="988"/>
      <c r="H21" s="989"/>
      <c r="I21" s="651">
        <f>I20</f>
        <v>378.45</v>
      </c>
      <c r="J21" s="344" t="s">
        <v>103</v>
      </c>
    </row>
    <row r="22" spans="1:10" ht="15" customHeight="1" thickBot="1" x14ac:dyDescent="0.3">
      <c r="A22" s="975" t="s">
        <v>100</v>
      </c>
      <c r="B22" s="976"/>
      <c r="C22" s="976"/>
      <c r="D22" s="976"/>
      <c r="E22" s="976"/>
      <c r="F22" s="976"/>
      <c r="G22" s="976"/>
      <c r="H22" s="976"/>
      <c r="I22" s="977"/>
      <c r="J22" s="110" t="s">
        <v>5</v>
      </c>
    </row>
    <row r="23" spans="1:10" ht="15" customHeight="1" x14ac:dyDescent="0.25">
      <c r="A23" s="889" t="s">
        <v>283</v>
      </c>
      <c r="B23" s="890"/>
      <c r="C23" s="890"/>
      <c r="D23" s="890"/>
      <c r="E23" s="890"/>
      <c r="F23" s="890"/>
      <c r="G23" s="890"/>
      <c r="H23" s="890"/>
      <c r="I23" s="342">
        <f>I20*0.07</f>
        <v>26.491500000000002</v>
      </c>
      <c r="J23" s="343" t="s">
        <v>104</v>
      </c>
    </row>
    <row r="24" spans="1:10" ht="15" customHeight="1" x14ac:dyDescent="0.25">
      <c r="A24" s="889" t="s">
        <v>284</v>
      </c>
      <c r="B24" s="890"/>
      <c r="C24" s="890"/>
      <c r="D24" s="890"/>
      <c r="E24" s="890"/>
      <c r="F24" s="890"/>
      <c r="G24" s="890"/>
      <c r="H24" s="890"/>
      <c r="I24" s="342">
        <f>I23</f>
        <v>26.491500000000002</v>
      </c>
      <c r="J24" s="343" t="s">
        <v>104</v>
      </c>
    </row>
    <row r="25" spans="1:10" ht="15" customHeight="1" thickBot="1" x14ac:dyDescent="0.3">
      <c r="A25" s="889" t="s">
        <v>343</v>
      </c>
      <c r="B25" s="890"/>
      <c r="C25" s="890"/>
      <c r="D25" s="890"/>
      <c r="E25" s="890"/>
      <c r="F25" s="890"/>
      <c r="G25" s="890"/>
      <c r="H25" s="890"/>
      <c r="I25" s="342">
        <f>I20</f>
        <v>378.45</v>
      </c>
      <c r="J25" s="343" t="s">
        <v>103</v>
      </c>
    </row>
    <row r="26" spans="1:10" ht="18" thickBot="1" x14ac:dyDescent="0.3">
      <c r="A26" s="975" t="s">
        <v>1129</v>
      </c>
      <c r="B26" s="976"/>
      <c r="C26" s="976"/>
      <c r="D26" s="976"/>
      <c r="E26" s="976"/>
      <c r="F26" s="976"/>
      <c r="G26" s="976"/>
      <c r="H26" s="976"/>
      <c r="I26" s="977"/>
      <c r="J26" s="101" t="s">
        <v>5</v>
      </c>
    </row>
    <row r="27" spans="1:10" x14ac:dyDescent="0.25">
      <c r="A27" s="983" t="s">
        <v>285</v>
      </c>
      <c r="B27" s="984"/>
      <c r="C27" s="984"/>
      <c r="D27" s="984"/>
      <c r="E27" s="984"/>
      <c r="F27" s="984"/>
      <c r="G27" s="984"/>
      <c r="H27" s="984"/>
      <c r="I27" s="111">
        <f>95.42</f>
        <v>95.42</v>
      </c>
      <c r="J27" s="104" t="s">
        <v>103</v>
      </c>
    </row>
    <row r="28" spans="1:10" x14ac:dyDescent="0.25">
      <c r="A28" s="978" t="s">
        <v>286</v>
      </c>
      <c r="B28" s="979"/>
      <c r="C28" s="979"/>
      <c r="D28" s="979"/>
      <c r="E28" s="979"/>
      <c r="F28" s="979"/>
      <c r="G28" s="979"/>
      <c r="H28" s="979"/>
      <c r="I28" s="342">
        <f>24.52</f>
        <v>24.52</v>
      </c>
      <c r="J28" s="343" t="s">
        <v>104</v>
      </c>
    </row>
    <row r="29" spans="1:10" x14ac:dyDescent="0.25">
      <c r="A29" s="978" t="s">
        <v>284</v>
      </c>
      <c r="B29" s="979"/>
      <c r="C29" s="979"/>
      <c r="D29" s="979"/>
      <c r="E29" s="979"/>
      <c r="F29" s="979"/>
      <c r="G29" s="979"/>
      <c r="H29" s="979"/>
      <c r="I29" s="342">
        <f>I28</f>
        <v>24.52</v>
      </c>
      <c r="J29" s="343" t="s">
        <v>104</v>
      </c>
    </row>
    <row r="30" spans="1:10" x14ac:dyDescent="0.25">
      <c r="A30" s="978" t="s">
        <v>5355</v>
      </c>
      <c r="B30" s="979"/>
      <c r="C30" s="979"/>
      <c r="D30" s="979"/>
      <c r="E30" s="979"/>
      <c r="F30" s="979"/>
      <c r="G30" s="979"/>
      <c r="H30" s="979"/>
      <c r="I30" s="342">
        <f>18.61+409</f>
        <v>427.61</v>
      </c>
      <c r="J30" s="343" t="s">
        <v>71</v>
      </c>
    </row>
    <row r="31" spans="1:10" x14ac:dyDescent="0.25">
      <c r="A31" s="978" t="s">
        <v>5356</v>
      </c>
      <c r="B31" s="979"/>
      <c r="C31" s="979"/>
      <c r="D31" s="979"/>
      <c r="E31" s="979"/>
      <c r="F31" s="979"/>
      <c r="G31" s="979"/>
      <c r="H31" s="979"/>
      <c r="I31" s="342">
        <f>36.66+1005</f>
        <v>1041.6600000000001</v>
      </c>
      <c r="J31" s="343" t="s">
        <v>71</v>
      </c>
    </row>
    <row r="32" spans="1:10" x14ac:dyDescent="0.25">
      <c r="A32" s="978" t="s">
        <v>288</v>
      </c>
      <c r="B32" s="979"/>
      <c r="C32" s="979"/>
      <c r="D32" s="979"/>
      <c r="E32" s="979"/>
      <c r="F32" s="979"/>
      <c r="G32" s="979"/>
      <c r="H32" s="979"/>
      <c r="I32" s="342">
        <f>2037.37</f>
        <v>2037.37</v>
      </c>
      <c r="J32" s="343" t="s">
        <v>71</v>
      </c>
    </row>
    <row r="33" spans="1:12" x14ac:dyDescent="0.25">
      <c r="A33" s="978" t="s">
        <v>1118</v>
      </c>
      <c r="B33" s="979"/>
      <c r="C33" s="979"/>
      <c r="D33" s="979"/>
      <c r="E33" s="979"/>
      <c r="F33" s="979"/>
      <c r="G33" s="979"/>
      <c r="H33" s="979"/>
      <c r="I33" s="342">
        <f>359.52</f>
        <v>359.52</v>
      </c>
      <c r="J33" s="343" t="s">
        <v>71</v>
      </c>
    </row>
    <row r="34" spans="1:12" ht="15.75" thickBot="1" x14ac:dyDescent="0.3">
      <c r="A34" s="978" t="s">
        <v>5357</v>
      </c>
      <c r="B34" s="979"/>
      <c r="C34" s="979"/>
      <c r="D34" s="979"/>
      <c r="E34" s="979"/>
      <c r="F34" s="979"/>
      <c r="G34" s="979"/>
      <c r="H34" s="979"/>
      <c r="I34" s="679">
        <v>636</v>
      </c>
      <c r="J34" s="343" t="s">
        <v>75</v>
      </c>
    </row>
    <row r="35" spans="1:12" ht="18" thickBot="1" x14ac:dyDescent="0.3">
      <c r="A35" s="980" t="s">
        <v>256</v>
      </c>
      <c r="B35" s="981"/>
      <c r="C35" s="981"/>
      <c r="D35" s="981"/>
      <c r="E35" s="981"/>
      <c r="F35" s="981"/>
      <c r="G35" s="981"/>
      <c r="H35" s="981"/>
      <c r="I35" s="982"/>
      <c r="J35" s="101" t="s">
        <v>5</v>
      </c>
    </row>
    <row r="36" spans="1:12" x14ac:dyDescent="0.25">
      <c r="A36" s="920" t="s">
        <v>290</v>
      </c>
      <c r="B36" s="921"/>
      <c r="C36" s="921"/>
      <c r="D36" s="921"/>
      <c r="E36" s="921"/>
      <c r="F36" s="921"/>
      <c r="G36" s="921"/>
      <c r="H36" s="921"/>
      <c r="I36" s="111">
        <f>18.89+100.54</f>
        <v>119.43</v>
      </c>
      <c r="J36" s="104" t="s">
        <v>103</v>
      </c>
    </row>
    <row r="37" spans="1:12" x14ac:dyDescent="0.25">
      <c r="A37" s="889" t="s">
        <v>286</v>
      </c>
      <c r="B37" s="890"/>
      <c r="C37" s="890"/>
      <c r="D37" s="890"/>
      <c r="E37" s="890"/>
      <c r="F37" s="890"/>
      <c r="G37" s="890"/>
      <c r="H37" s="890"/>
      <c r="I37" s="342">
        <f>8.61</f>
        <v>8.61</v>
      </c>
      <c r="J37" s="343" t="s">
        <v>104</v>
      </c>
    </row>
    <row r="38" spans="1:12" x14ac:dyDescent="0.25">
      <c r="A38" s="889" t="s">
        <v>284</v>
      </c>
      <c r="B38" s="890"/>
      <c r="C38" s="890"/>
      <c r="D38" s="890"/>
      <c r="E38" s="890"/>
      <c r="F38" s="890"/>
      <c r="G38" s="890"/>
      <c r="H38" s="890"/>
      <c r="I38" s="342">
        <f>I37</f>
        <v>8.61</v>
      </c>
      <c r="J38" s="343" t="s">
        <v>104</v>
      </c>
    </row>
    <row r="39" spans="1:12" x14ac:dyDescent="0.25">
      <c r="A39" s="889" t="s">
        <v>287</v>
      </c>
      <c r="B39" s="890"/>
      <c r="C39" s="890"/>
      <c r="D39" s="890"/>
      <c r="E39" s="890"/>
      <c r="F39" s="890"/>
      <c r="G39" s="890"/>
      <c r="H39" s="890"/>
      <c r="I39" s="342">
        <f>121.9</f>
        <v>121.9</v>
      </c>
      <c r="J39" s="343" t="s">
        <v>71</v>
      </c>
    </row>
    <row r="40" spans="1:12" x14ac:dyDescent="0.25">
      <c r="A40" s="889" t="s">
        <v>291</v>
      </c>
      <c r="B40" s="890"/>
      <c r="C40" s="890"/>
      <c r="D40" s="890"/>
      <c r="E40" s="890"/>
      <c r="F40" s="890"/>
      <c r="G40" s="890"/>
      <c r="H40" s="890"/>
      <c r="I40" s="342" t="s">
        <v>5302</v>
      </c>
      <c r="J40" s="343" t="s">
        <v>71</v>
      </c>
    </row>
    <row r="41" spans="1:12" x14ac:dyDescent="0.25">
      <c r="A41" s="889" t="s">
        <v>292</v>
      </c>
      <c r="B41" s="890"/>
      <c r="C41" s="890"/>
      <c r="D41" s="890"/>
      <c r="E41" s="890"/>
      <c r="F41" s="890"/>
      <c r="G41" s="890"/>
      <c r="H41" s="890"/>
      <c r="I41" s="114">
        <f>4.4</f>
        <v>4.4000000000000004</v>
      </c>
      <c r="J41" s="343" t="s">
        <v>71</v>
      </c>
      <c r="L41" s="99"/>
    </row>
    <row r="42" spans="1:12" x14ac:dyDescent="0.25">
      <c r="A42" s="889" t="s">
        <v>288</v>
      </c>
      <c r="B42" s="890"/>
      <c r="C42" s="890"/>
      <c r="D42" s="890"/>
      <c r="E42" s="890"/>
      <c r="F42" s="890"/>
      <c r="G42" s="890"/>
      <c r="H42" s="890"/>
      <c r="I42" s="114">
        <f>340.1</f>
        <v>340.1</v>
      </c>
      <c r="J42" s="343" t="s">
        <v>71</v>
      </c>
    </row>
    <row r="43" spans="1:12" ht="15.75" thickBot="1" x14ac:dyDescent="0.3">
      <c r="A43" s="902" t="s">
        <v>289</v>
      </c>
      <c r="B43" s="903"/>
      <c r="C43" s="903"/>
      <c r="D43" s="903"/>
      <c r="E43" s="903"/>
      <c r="F43" s="903"/>
      <c r="G43" s="903"/>
      <c r="H43" s="903"/>
      <c r="I43" s="115">
        <f>47.3</f>
        <v>47.3</v>
      </c>
      <c r="J43" s="344" t="s">
        <v>71</v>
      </c>
    </row>
    <row r="44" spans="1:12" ht="15.75" thickBot="1" x14ac:dyDescent="0.3">
      <c r="A44" s="100"/>
      <c r="B44" s="100"/>
      <c r="C44" s="100"/>
      <c r="D44" s="100"/>
      <c r="E44" s="100"/>
      <c r="F44" s="100"/>
      <c r="G44" s="100"/>
      <c r="H44" s="100"/>
    </row>
    <row r="45" spans="1:12" ht="18" thickBot="1" x14ac:dyDescent="0.3">
      <c r="A45" s="972" t="s">
        <v>257</v>
      </c>
      <c r="B45" s="973"/>
      <c r="C45" s="973"/>
      <c r="D45" s="973"/>
      <c r="E45" s="973"/>
      <c r="F45" s="973"/>
      <c r="G45" s="973"/>
      <c r="H45" s="973"/>
      <c r="I45" s="974"/>
    </row>
    <row r="46" spans="1:12" ht="18" thickBot="1" x14ac:dyDescent="0.3">
      <c r="A46" s="975" t="s">
        <v>258</v>
      </c>
      <c r="B46" s="976"/>
      <c r="C46" s="976"/>
      <c r="D46" s="976"/>
      <c r="E46" s="976"/>
      <c r="F46" s="976"/>
      <c r="G46" s="976"/>
      <c r="H46" s="976"/>
      <c r="I46" s="977"/>
      <c r="J46" s="101" t="s">
        <v>5</v>
      </c>
    </row>
    <row r="47" spans="1:12" x14ac:dyDescent="0.25">
      <c r="A47" s="920" t="s">
        <v>290</v>
      </c>
      <c r="B47" s="921"/>
      <c r="C47" s="921"/>
      <c r="D47" s="921"/>
      <c r="E47" s="921"/>
      <c r="F47" s="921"/>
      <c r="G47" s="921"/>
      <c r="H47" s="921"/>
      <c r="I47" s="111">
        <f>3.3+117.96+10.08</f>
        <v>131.34</v>
      </c>
      <c r="J47" s="104" t="s">
        <v>103</v>
      </c>
    </row>
    <row r="48" spans="1:12" x14ac:dyDescent="0.25">
      <c r="A48" s="889" t="s">
        <v>286</v>
      </c>
      <c r="B48" s="890"/>
      <c r="C48" s="890"/>
      <c r="D48" s="890"/>
      <c r="E48" s="890"/>
      <c r="F48" s="890"/>
      <c r="G48" s="890"/>
      <c r="H48" s="890"/>
      <c r="I48" s="342">
        <f>0.33+7.83+0.72</f>
        <v>8.8800000000000008</v>
      </c>
      <c r="J48" s="343" t="s">
        <v>104</v>
      </c>
    </row>
    <row r="49" spans="1:12" x14ac:dyDescent="0.25">
      <c r="A49" s="889" t="s">
        <v>284</v>
      </c>
      <c r="B49" s="890"/>
      <c r="C49" s="890"/>
      <c r="D49" s="890"/>
      <c r="E49" s="890"/>
      <c r="F49" s="890"/>
      <c r="G49" s="890"/>
      <c r="H49" s="890"/>
      <c r="I49" s="342">
        <f>I48</f>
        <v>8.8800000000000008</v>
      </c>
      <c r="J49" s="343" t="s">
        <v>104</v>
      </c>
    </row>
    <row r="50" spans="1:12" x14ac:dyDescent="0.25">
      <c r="A50" s="889" t="s">
        <v>287</v>
      </c>
      <c r="B50" s="890"/>
      <c r="C50" s="890"/>
      <c r="D50" s="890"/>
      <c r="E50" s="890"/>
      <c r="F50" s="890"/>
      <c r="G50" s="890"/>
      <c r="H50" s="890"/>
      <c r="I50" s="342">
        <f>423+30.2</f>
        <v>453.2</v>
      </c>
      <c r="J50" s="343" t="s">
        <v>71</v>
      </c>
    </row>
    <row r="51" spans="1:12" ht="15.75" thickBot="1" x14ac:dyDescent="0.3">
      <c r="A51" s="889" t="s">
        <v>1118</v>
      </c>
      <c r="B51" s="890"/>
      <c r="C51" s="890"/>
      <c r="D51" s="890"/>
      <c r="E51" s="890"/>
      <c r="F51" s="890"/>
      <c r="G51" s="890"/>
      <c r="H51" s="890"/>
      <c r="I51" s="114">
        <f>1621.2+125.1</f>
        <v>1746.3</v>
      </c>
      <c r="J51" s="343" t="s">
        <v>71</v>
      </c>
    </row>
    <row r="52" spans="1:12" ht="18" thickBot="1" x14ac:dyDescent="0.3">
      <c r="A52" s="975" t="s">
        <v>259</v>
      </c>
      <c r="B52" s="976"/>
      <c r="C52" s="976"/>
      <c r="D52" s="976"/>
      <c r="E52" s="976"/>
      <c r="F52" s="976"/>
      <c r="G52" s="976"/>
      <c r="H52" s="976"/>
      <c r="I52" s="977"/>
      <c r="J52" s="101" t="s">
        <v>5</v>
      </c>
    </row>
    <row r="53" spans="1:12" x14ac:dyDescent="0.25">
      <c r="A53" s="920" t="s">
        <v>290</v>
      </c>
      <c r="B53" s="921"/>
      <c r="C53" s="921"/>
      <c r="D53" s="921"/>
      <c r="E53" s="921"/>
      <c r="F53" s="921"/>
      <c r="G53" s="921"/>
      <c r="H53" s="921"/>
      <c r="I53" s="111">
        <f>6.61+35.28+18.95+88.69</f>
        <v>149.53</v>
      </c>
      <c r="J53" s="104" t="s">
        <v>103</v>
      </c>
    </row>
    <row r="54" spans="1:12" x14ac:dyDescent="0.25">
      <c r="A54" s="889" t="s">
        <v>286</v>
      </c>
      <c r="B54" s="890"/>
      <c r="C54" s="890"/>
      <c r="D54" s="890"/>
      <c r="E54" s="890"/>
      <c r="F54" s="890"/>
      <c r="G54" s="890"/>
      <c r="H54" s="890"/>
      <c r="I54" s="342">
        <f>2.96+8.82</f>
        <v>11.780000000000001</v>
      </c>
      <c r="J54" s="343" t="s">
        <v>104</v>
      </c>
    </row>
    <row r="55" spans="1:12" x14ac:dyDescent="0.25">
      <c r="A55" s="889" t="s">
        <v>284</v>
      </c>
      <c r="B55" s="890"/>
      <c r="C55" s="890"/>
      <c r="D55" s="890"/>
      <c r="E55" s="890"/>
      <c r="F55" s="890"/>
      <c r="G55" s="890"/>
      <c r="H55" s="890"/>
      <c r="I55" s="342">
        <f>I54</f>
        <v>11.780000000000001</v>
      </c>
      <c r="J55" s="343" t="s">
        <v>104</v>
      </c>
    </row>
    <row r="56" spans="1:12" x14ac:dyDescent="0.25">
      <c r="A56" s="889" t="s">
        <v>287</v>
      </c>
      <c r="B56" s="890"/>
      <c r="C56" s="890"/>
      <c r="D56" s="890"/>
      <c r="E56" s="890"/>
      <c r="F56" s="890"/>
      <c r="G56" s="890"/>
      <c r="H56" s="890"/>
      <c r="I56" s="342">
        <f>43.9+126.5</f>
        <v>170.4</v>
      </c>
      <c r="J56" s="343" t="s">
        <v>71</v>
      </c>
      <c r="L56" s="99"/>
    </row>
    <row r="57" spans="1:12" x14ac:dyDescent="0.25">
      <c r="A57" s="889" t="s">
        <v>291</v>
      </c>
      <c r="B57" s="890"/>
      <c r="C57" s="890"/>
      <c r="D57" s="890"/>
      <c r="E57" s="890"/>
      <c r="F57" s="890"/>
      <c r="G57" s="890"/>
      <c r="H57" s="890"/>
      <c r="I57" s="342" t="s">
        <v>5302</v>
      </c>
      <c r="J57" s="343" t="s">
        <v>71</v>
      </c>
    </row>
    <row r="58" spans="1:12" x14ac:dyDescent="0.25">
      <c r="A58" s="889" t="s">
        <v>292</v>
      </c>
      <c r="B58" s="890"/>
      <c r="C58" s="890"/>
      <c r="D58" s="890"/>
      <c r="E58" s="890"/>
      <c r="F58" s="890"/>
      <c r="G58" s="890"/>
      <c r="H58" s="890"/>
      <c r="I58" s="114">
        <f>3.5</f>
        <v>3.5</v>
      </c>
      <c r="J58" s="343" t="s">
        <v>71</v>
      </c>
    </row>
    <row r="59" spans="1:12" ht="15.75" thickBot="1" x14ac:dyDescent="0.3">
      <c r="A59" s="902" t="s">
        <v>288</v>
      </c>
      <c r="B59" s="903"/>
      <c r="C59" s="903"/>
      <c r="D59" s="903"/>
      <c r="E59" s="903"/>
      <c r="F59" s="903"/>
      <c r="G59" s="903"/>
      <c r="H59" s="903"/>
      <c r="I59" s="115">
        <f>123.8+292.8</f>
        <v>416.6</v>
      </c>
      <c r="J59" s="344" t="s">
        <v>71</v>
      </c>
    </row>
    <row r="60" spans="1:12" ht="15.75" thickBot="1" x14ac:dyDescent="0.3">
      <c r="A60" s="902" t="s">
        <v>1118</v>
      </c>
      <c r="B60" s="903"/>
      <c r="C60" s="903"/>
      <c r="D60" s="903"/>
      <c r="E60" s="903"/>
      <c r="F60" s="903"/>
      <c r="G60" s="903"/>
      <c r="H60" s="903"/>
      <c r="I60" s="115">
        <f>96.6</f>
        <v>96.6</v>
      </c>
      <c r="J60" s="344" t="s">
        <v>71</v>
      </c>
    </row>
    <row r="61" spans="1:12" ht="15.75" thickBot="1" x14ac:dyDescent="0.3">
      <c r="A61" s="902" t="s">
        <v>293</v>
      </c>
      <c r="B61" s="903"/>
      <c r="C61" s="903"/>
      <c r="D61" s="903"/>
      <c r="E61" s="903"/>
      <c r="F61" s="903"/>
      <c r="G61" s="903"/>
      <c r="H61" s="903"/>
      <c r="I61" s="115">
        <f>93.9</f>
        <v>93.9</v>
      </c>
      <c r="J61" s="344" t="s">
        <v>71</v>
      </c>
    </row>
    <row r="62" spans="1:12" ht="18" thickBot="1" x14ac:dyDescent="0.3">
      <c r="A62" s="975" t="s">
        <v>263</v>
      </c>
      <c r="B62" s="976"/>
      <c r="C62" s="976"/>
      <c r="D62" s="976"/>
      <c r="E62" s="976"/>
      <c r="F62" s="976"/>
      <c r="G62" s="976"/>
      <c r="H62" s="976"/>
      <c r="I62" s="977"/>
      <c r="J62" s="101" t="s">
        <v>5</v>
      </c>
    </row>
    <row r="63" spans="1:12" ht="15.75" thickBot="1" x14ac:dyDescent="0.3">
      <c r="A63" s="920" t="s">
        <v>5358</v>
      </c>
      <c r="B63" s="921"/>
      <c r="C63" s="921"/>
      <c r="D63" s="921"/>
      <c r="E63" s="921"/>
      <c r="F63" s="921"/>
      <c r="G63" s="921"/>
      <c r="H63" s="921"/>
      <c r="I63" s="111">
        <f>118.1</f>
        <v>118.1</v>
      </c>
      <c r="J63" s="104" t="s">
        <v>103</v>
      </c>
    </row>
    <row r="64" spans="1:12" ht="15.75" thickBot="1" x14ac:dyDescent="0.3">
      <c r="A64" s="887" t="s">
        <v>5275</v>
      </c>
      <c r="B64" s="888"/>
      <c r="C64" s="888"/>
      <c r="D64" s="888"/>
      <c r="E64" s="888"/>
      <c r="F64" s="888"/>
      <c r="G64" s="888"/>
      <c r="H64" s="888"/>
      <c r="I64" s="620">
        <f>I63*1.2</f>
        <v>141.72</v>
      </c>
      <c r="J64" s="104" t="s">
        <v>103</v>
      </c>
    </row>
    <row r="65" spans="1:10" ht="18" thickBot="1" x14ac:dyDescent="0.3">
      <c r="A65" s="972" t="s">
        <v>294</v>
      </c>
      <c r="B65" s="973"/>
      <c r="C65" s="973"/>
      <c r="D65" s="973"/>
      <c r="E65" s="973"/>
      <c r="F65" s="973"/>
      <c r="G65" s="973"/>
      <c r="H65" s="973"/>
      <c r="I65" s="974"/>
    </row>
    <row r="66" spans="1:10" ht="18" thickBot="1" x14ac:dyDescent="0.3">
      <c r="A66" s="975" t="s">
        <v>62</v>
      </c>
      <c r="B66" s="976"/>
      <c r="C66" s="976"/>
      <c r="D66" s="976"/>
      <c r="E66" s="976"/>
      <c r="F66" s="976"/>
      <c r="G66" s="976"/>
      <c r="H66" s="976"/>
      <c r="I66" s="977"/>
      <c r="J66" s="101" t="s">
        <v>5</v>
      </c>
    </row>
    <row r="67" spans="1:10" x14ac:dyDescent="0.25">
      <c r="A67" s="920" t="s">
        <v>260</v>
      </c>
      <c r="B67" s="921"/>
      <c r="C67" s="921"/>
      <c r="D67" s="921"/>
      <c r="E67" s="921"/>
      <c r="F67" s="921"/>
      <c r="G67" s="921"/>
      <c r="H67" s="921"/>
      <c r="I67" s="111">
        <f>5474.79+42.2</f>
        <v>5516.99</v>
      </c>
      <c r="J67" s="343" t="s">
        <v>71</v>
      </c>
    </row>
    <row r="68" spans="1:10" x14ac:dyDescent="0.25">
      <c r="A68" s="889" t="s">
        <v>261</v>
      </c>
      <c r="B68" s="890"/>
      <c r="C68" s="890"/>
      <c r="D68" s="890"/>
      <c r="E68" s="890"/>
      <c r="F68" s="890"/>
      <c r="G68" s="890"/>
      <c r="H68" s="890"/>
      <c r="I68" s="342">
        <f>307.95</f>
        <v>307.95</v>
      </c>
      <c r="J68" s="343" t="s">
        <v>103</v>
      </c>
    </row>
    <row r="69" spans="1:10" ht="15.75" thickBot="1" x14ac:dyDescent="0.3">
      <c r="A69" s="902" t="s">
        <v>262</v>
      </c>
      <c r="B69" s="903"/>
      <c r="C69" s="903"/>
      <c r="D69" s="903"/>
      <c r="E69" s="903"/>
      <c r="F69" s="903"/>
      <c r="G69" s="903"/>
      <c r="H69" s="903"/>
      <c r="I69" s="342">
        <f>66.38</f>
        <v>66.38</v>
      </c>
      <c r="J69" s="343" t="s">
        <v>71</v>
      </c>
    </row>
  </sheetData>
  <mergeCells count="71">
    <mergeCell ref="A1:J1"/>
    <mergeCell ref="A3:I3"/>
    <mergeCell ref="A4:H4"/>
    <mergeCell ref="K4:L6"/>
    <mergeCell ref="A5:H5"/>
    <mergeCell ref="A6:H6"/>
    <mergeCell ref="A15:H15"/>
    <mergeCell ref="A8:I8"/>
    <mergeCell ref="L8:S8"/>
    <mergeCell ref="A9:I9"/>
    <mergeCell ref="L9:S9"/>
    <mergeCell ref="A10:H10"/>
    <mergeCell ref="L10:S10"/>
    <mergeCell ref="A11:H11"/>
    <mergeCell ref="A12:H12"/>
    <mergeCell ref="A13:H13"/>
    <mergeCell ref="L13:S13"/>
    <mergeCell ref="A14:H14"/>
    <mergeCell ref="A27:H27"/>
    <mergeCell ref="A16:H16"/>
    <mergeCell ref="A17:H17"/>
    <mergeCell ref="A18:H18"/>
    <mergeCell ref="A19:H19"/>
    <mergeCell ref="A20:H20"/>
    <mergeCell ref="A21:H21"/>
    <mergeCell ref="A22:I22"/>
    <mergeCell ref="A23:H23"/>
    <mergeCell ref="A24:H24"/>
    <mergeCell ref="A25:H25"/>
    <mergeCell ref="A26:I26"/>
    <mergeCell ref="A39:H39"/>
    <mergeCell ref="A28:H28"/>
    <mergeCell ref="A29:H29"/>
    <mergeCell ref="A30:H30"/>
    <mergeCell ref="A31:H31"/>
    <mergeCell ref="A32:H32"/>
    <mergeCell ref="A33:H33"/>
    <mergeCell ref="A34:H34"/>
    <mergeCell ref="A35:I35"/>
    <mergeCell ref="A36:H36"/>
    <mergeCell ref="A37:H37"/>
    <mergeCell ref="A38:H38"/>
    <mergeCell ref="A52:I52"/>
    <mergeCell ref="A40:H40"/>
    <mergeCell ref="A41:H41"/>
    <mergeCell ref="A42:H42"/>
    <mergeCell ref="A43:H43"/>
    <mergeCell ref="A45:I45"/>
    <mergeCell ref="A46:I46"/>
    <mergeCell ref="A47:H47"/>
    <mergeCell ref="A48:H48"/>
    <mergeCell ref="A49:H49"/>
    <mergeCell ref="A50:H50"/>
    <mergeCell ref="A51:H51"/>
    <mergeCell ref="A64:H64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I62"/>
    <mergeCell ref="A63:H63"/>
    <mergeCell ref="A65:I65"/>
    <mergeCell ref="A66:I66"/>
    <mergeCell ref="A67:H67"/>
    <mergeCell ref="A68:H68"/>
    <mergeCell ref="A69:H69"/>
  </mergeCells>
  <pageMargins left="0.511811024" right="0.511811024" top="0.78740157499999996" bottom="0.78740157499999996" header="0.31496062000000002" footer="0.31496062000000002"/>
  <pageSetup paperSize="9" scale="92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207"/>
  <sheetViews>
    <sheetView showGridLines="0" view="pageLayout" topLeftCell="A187" zoomScale="85" zoomScaleNormal="100" zoomScalePageLayoutView="85" workbookViewId="0">
      <selection activeCell="G1" sqref="G1:G1048576"/>
    </sheetView>
  </sheetViews>
  <sheetFormatPr defaultRowHeight="15.75" outlineLevelRow="2" x14ac:dyDescent="0.25"/>
  <cols>
    <col min="1" max="1" width="61.42578125" style="40" customWidth="1"/>
    <col min="2" max="2" width="11" style="46" customWidth="1"/>
    <col min="3" max="3" width="12.140625" style="59" customWidth="1"/>
    <col min="4" max="4" width="13.28515625" style="714" hidden="1" customWidth="1"/>
    <col min="5" max="5" width="13.28515625" style="715" hidden="1" customWidth="1"/>
    <col min="6" max="6" width="18.42578125" style="715" hidden="1" customWidth="1"/>
    <col min="7" max="16384" width="9.140625" style="40"/>
  </cols>
  <sheetData>
    <row r="1" spans="1:6" x14ac:dyDescent="0.25">
      <c r="A1" s="1036" t="s">
        <v>4782</v>
      </c>
      <c r="B1" s="1037"/>
      <c r="C1" s="1037"/>
      <c r="D1" s="1037"/>
      <c r="E1" s="1037"/>
      <c r="F1" s="1037"/>
    </row>
    <row r="2" spans="1:6" x14ac:dyDescent="0.25">
      <c r="A2" s="680" t="s">
        <v>5359</v>
      </c>
      <c r="B2" s="681"/>
      <c r="C2" s="682"/>
      <c r="D2" s="683"/>
      <c r="E2" s="684"/>
      <c r="F2" s="683"/>
    </row>
    <row r="3" spans="1:6" x14ac:dyDescent="0.25">
      <c r="A3" s="680" t="s">
        <v>5360</v>
      </c>
      <c r="B3" s="681"/>
      <c r="C3" s="682"/>
      <c r="D3" s="683"/>
      <c r="E3" s="684"/>
      <c r="F3" s="683"/>
    </row>
    <row r="4" spans="1:6" ht="16.5" thickBot="1" x14ac:dyDescent="0.3">
      <c r="A4" s="1038" t="s">
        <v>5361</v>
      </c>
      <c r="B4" s="1038"/>
      <c r="C4" s="1038"/>
      <c r="D4" s="683"/>
      <c r="E4" s="683"/>
      <c r="F4" s="683"/>
    </row>
    <row r="5" spans="1:6" ht="15.75" customHeight="1" x14ac:dyDescent="0.25">
      <c r="A5" s="1039" t="s">
        <v>5362</v>
      </c>
      <c r="B5" s="1040"/>
      <c r="C5" s="1040"/>
      <c r="D5" s="1040"/>
      <c r="E5" s="1040"/>
      <c r="F5" s="1041"/>
    </row>
    <row r="6" spans="1:6" outlineLevel="1" x14ac:dyDescent="0.25">
      <c r="A6" s="1042" t="s">
        <v>3282</v>
      </c>
      <c r="B6" s="1043"/>
      <c r="C6" s="1044"/>
      <c r="D6" s="685"/>
      <c r="E6" s="685"/>
      <c r="F6" s="686"/>
    </row>
    <row r="7" spans="1:6" s="57" customFormat="1" ht="31.5" outlineLevel="2" x14ac:dyDescent="0.25">
      <c r="A7" s="687" t="s">
        <v>5363</v>
      </c>
      <c r="B7" s="688" t="s">
        <v>5</v>
      </c>
      <c r="C7" s="688">
        <v>4</v>
      </c>
      <c r="D7" s="689">
        <v>91.71</v>
      </c>
      <c r="E7" s="685">
        <f t="shared" ref="E7:E19" si="0">D7*(1+$C$1)</f>
        <v>91.71</v>
      </c>
      <c r="F7" s="686">
        <f t="shared" ref="F7:F19" si="1">TRUNC((E7*C7),2)</f>
        <v>366.84</v>
      </c>
    </row>
    <row r="8" spans="1:6" s="57" customFormat="1" outlineLevel="2" x14ac:dyDescent="0.25">
      <c r="A8" s="687" t="s">
        <v>5364</v>
      </c>
      <c r="B8" s="688" t="s">
        <v>5</v>
      </c>
      <c r="C8" s="688">
        <v>1</v>
      </c>
      <c r="D8" s="689">
        <v>27.21</v>
      </c>
      <c r="E8" s="685">
        <f t="shared" si="0"/>
        <v>27.21</v>
      </c>
      <c r="F8" s="686">
        <f t="shared" si="1"/>
        <v>27.21</v>
      </c>
    </row>
    <row r="9" spans="1:6" s="57" customFormat="1" ht="31.5" outlineLevel="2" x14ac:dyDescent="0.25">
      <c r="A9" s="687" t="s">
        <v>5365</v>
      </c>
      <c r="B9" s="688" t="s">
        <v>5</v>
      </c>
      <c r="C9" s="688">
        <v>2</v>
      </c>
      <c r="D9" s="689">
        <v>91.71</v>
      </c>
      <c r="E9" s="685">
        <f t="shared" si="0"/>
        <v>91.71</v>
      </c>
      <c r="F9" s="686">
        <f t="shared" si="1"/>
        <v>183.42</v>
      </c>
    </row>
    <row r="10" spans="1:6" s="57" customFormat="1" outlineLevel="2" x14ac:dyDescent="0.25">
      <c r="A10" s="687" t="s">
        <v>5366</v>
      </c>
      <c r="B10" s="688" t="s">
        <v>5</v>
      </c>
      <c r="C10" s="688">
        <v>2</v>
      </c>
      <c r="D10" s="689">
        <v>76.27</v>
      </c>
      <c r="E10" s="685">
        <f t="shared" si="0"/>
        <v>76.27</v>
      </c>
      <c r="F10" s="686">
        <f t="shared" si="1"/>
        <v>152.54</v>
      </c>
    </row>
    <row r="11" spans="1:6" s="57" customFormat="1" outlineLevel="2" x14ac:dyDescent="0.25">
      <c r="A11" s="687" t="s">
        <v>5367</v>
      </c>
      <c r="B11" s="688" t="s">
        <v>5</v>
      </c>
      <c r="C11" s="688">
        <v>1</v>
      </c>
      <c r="D11" s="689">
        <v>78.8</v>
      </c>
      <c r="E11" s="685">
        <f t="shared" si="0"/>
        <v>78.8</v>
      </c>
      <c r="F11" s="686">
        <f t="shared" si="1"/>
        <v>78.8</v>
      </c>
    </row>
    <row r="12" spans="1:6" s="57" customFormat="1" outlineLevel="2" x14ac:dyDescent="0.25">
      <c r="A12" s="687" t="s">
        <v>5368</v>
      </c>
      <c r="B12" s="688" t="s">
        <v>5</v>
      </c>
      <c r="C12" s="688">
        <v>1</v>
      </c>
      <c r="D12" s="689"/>
      <c r="E12" s="685"/>
      <c r="F12" s="686"/>
    </row>
    <row r="13" spans="1:6" s="57" customFormat="1" ht="31.5" outlineLevel="2" x14ac:dyDescent="0.25">
      <c r="A13" s="687" t="s">
        <v>5369</v>
      </c>
      <c r="B13" s="688" t="s">
        <v>5</v>
      </c>
      <c r="C13" s="688">
        <v>9</v>
      </c>
      <c r="D13" s="689">
        <v>4.71</v>
      </c>
      <c r="E13" s="685">
        <f t="shared" si="0"/>
        <v>4.71</v>
      </c>
      <c r="F13" s="686">
        <f t="shared" si="1"/>
        <v>42.39</v>
      </c>
    </row>
    <row r="14" spans="1:6" s="57" customFormat="1" ht="39" customHeight="1" outlineLevel="2" x14ac:dyDescent="0.25">
      <c r="A14" s="687" t="s">
        <v>5370</v>
      </c>
      <c r="B14" s="688" t="s">
        <v>5</v>
      </c>
      <c r="C14" s="688">
        <v>9</v>
      </c>
      <c r="D14" s="689">
        <v>6.37</v>
      </c>
      <c r="E14" s="685">
        <f t="shared" si="0"/>
        <v>6.37</v>
      </c>
      <c r="F14" s="686">
        <f t="shared" si="1"/>
        <v>57.33</v>
      </c>
    </row>
    <row r="15" spans="1:6" s="57" customFormat="1" outlineLevel="2" x14ac:dyDescent="0.25">
      <c r="A15" s="687" t="s">
        <v>5371</v>
      </c>
      <c r="B15" s="688" t="s">
        <v>5</v>
      </c>
      <c r="C15" s="688">
        <v>1</v>
      </c>
      <c r="D15" s="689">
        <v>3.04</v>
      </c>
      <c r="E15" s="685">
        <f t="shared" si="0"/>
        <v>3.04</v>
      </c>
      <c r="F15" s="686">
        <f t="shared" si="1"/>
        <v>3.04</v>
      </c>
    </row>
    <row r="16" spans="1:6" s="57" customFormat="1" ht="27" customHeight="1" outlineLevel="2" x14ac:dyDescent="0.25">
      <c r="A16" s="687" t="s">
        <v>5372</v>
      </c>
      <c r="B16" s="688" t="s">
        <v>5</v>
      </c>
      <c r="C16" s="688">
        <v>26</v>
      </c>
      <c r="D16" s="689">
        <v>8.42</v>
      </c>
      <c r="E16" s="685">
        <f t="shared" si="0"/>
        <v>8.42</v>
      </c>
      <c r="F16" s="686">
        <f t="shared" si="1"/>
        <v>218.92</v>
      </c>
    </row>
    <row r="17" spans="1:6" s="57" customFormat="1" ht="26.25" customHeight="1" outlineLevel="2" x14ac:dyDescent="0.25">
      <c r="A17" s="687" t="s">
        <v>5373</v>
      </c>
      <c r="B17" s="688" t="s">
        <v>5</v>
      </c>
      <c r="C17" s="688">
        <v>3</v>
      </c>
      <c r="D17" s="689">
        <v>8.42</v>
      </c>
      <c r="E17" s="685">
        <f t="shared" si="0"/>
        <v>8.42</v>
      </c>
      <c r="F17" s="686">
        <f t="shared" si="1"/>
        <v>25.26</v>
      </c>
    </row>
    <row r="18" spans="1:6" s="57" customFormat="1" ht="30" customHeight="1" outlineLevel="2" x14ac:dyDescent="0.25">
      <c r="A18" s="687" t="s">
        <v>5374</v>
      </c>
      <c r="B18" s="688" t="s">
        <v>75</v>
      </c>
      <c r="C18" s="688">
        <v>4</v>
      </c>
      <c r="D18" s="689">
        <v>6.69</v>
      </c>
      <c r="E18" s="685">
        <f t="shared" si="0"/>
        <v>6.69</v>
      </c>
      <c r="F18" s="686">
        <f t="shared" si="1"/>
        <v>26.76</v>
      </c>
    </row>
    <row r="19" spans="1:6" s="57" customFormat="1" ht="21.75" customHeight="1" outlineLevel="2" x14ac:dyDescent="0.25">
      <c r="A19" s="687" t="s">
        <v>5375</v>
      </c>
      <c r="B19" s="688" t="s">
        <v>75</v>
      </c>
      <c r="C19" s="688">
        <v>100</v>
      </c>
      <c r="D19" s="689">
        <v>10.84</v>
      </c>
      <c r="E19" s="685">
        <f t="shared" si="0"/>
        <v>10.84</v>
      </c>
      <c r="F19" s="686">
        <f t="shared" si="1"/>
        <v>1084</v>
      </c>
    </row>
    <row r="20" spans="1:6" s="57" customFormat="1" ht="22.5" customHeight="1" outlineLevel="2" x14ac:dyDescent="0.25">
      <c r="A20" s="687" t="s">
        <v>5376</v>
      </c>
      <c r="B20" s="688" t="s">
        <v>5</v>
      </c>
      <c r="C20" s="688">
        <v>8</v>
      </c>
      <c r="D20" s="689"/>
      <c r="E20" s="685"/>
      <c r="F20" s="686"/>
    </row>
    <row r="21" spans="1:6" s="57" customFormat="1" ht="24" customHeight="1" outlineLevel="2" x14ac:dyDescent="0.25">
      <c r="A21" s="687" t="s">
        <v>5377</v>
      </c>
      <c r="B21" s="688" t="s">
        <v>5</v>
      </c>
      <c r="C21" s="688">
        <v>1</v>
      </c>
      <c r="D21" s="689"/>
      <c r="E21" s="685"/>
      <c r="F21" s="686"/>
    </row>
    <row r="22" spans="1:6" s="57" customFormat="1" ht="7.5" customHeight="1" outlineLevel="1" x14ac:dyDescent="0.25">
      <c r="A22" s="1034"/>
      <c r="B22" s="753"/>
      <c r="C22" s="1035"/>
      <c r="D22" s="690"/>
      <c r="E22" s="691"/>
      <c r="F22" s="692">
        <f>SUM(F7:F21)</f>
        <v>2266.5099999999998</v>
      </c>
    </row>
    <row r="23" spans="1:6" s="57" customFormat="1" outlineLevel="1" x14ac:dyDescent="0.25">
      <c r="A23" s="1042" t="s">
        <v>163</v>
      </c>
      <c r="B23" s="1043"/>
      <c r="C23" s="1044"/>
      <c r="D23" s="685"/>
      <c r="E23" s="685"/>
      <c r="F23" s="686"/>
    </row>
    <row r="24" spans="1:6" s="57" customFormat="1" ht="31.5" outlineLevel="2" x14ac:dyDescent="0.25">
      <c r="A24" s="687" t="s">
        <v>5378</v>
      </c>
      <c r="B24" s="688" t="s">
        <v>5</v>
      </c>
      <c r="C24" s="688">
        <v>4</v>
      </c>
      <c r="D24" s="689">
        <v>10.85</v>
      </c>
      <c r="E24" s="685">
        <f t="shared" ref="E24" si="2">D24*(1+$C$1)</f>
        <v>10.85</v>
      </c>
      <c r="F24" s="686">
        <f t="shared" ref="F24" si="3">TRUNC((E24*C24),2)</f>
        <v>43.4</v>
      </c>
    </row>
    <row r="25" spans="1:6" s="57" customFormat="1" outlineLevel="2" x14ac:dyDescent="0.25">
      <c r="A25" s="687" t="s">
        <v>5379</v>
      </c>
      <c r="B25" s="688" t="s">
        <v>5</v>
      </c>
      <c r="C25" s="688">
        <v>3</v>
      </c>
      <c r="D25" s="689"/>
      <c r="E25" s="685"/>
      <c r="F25" s="686"/>
    </row>
    <row r="26" spans="1:6" s="57" customFormat="1" outlineLevel="2" x14ac:dyDescent="0.25">
      <c r="A26" s="687" t="s">
        <v>5380</v>
      </c>
      <c r="B26" s="688" t="s">
        <v>5</v>
      </c>
      <c r="C26" s="688">
        <v>10</v>
      </c>
      <c r="D26" s="689"/>
      <c r="E26" s="685"/>
      <c r="F26" s="686"/>
    </row>
    <row r="27" spans="1:6" s="57" customFormat="1" ht="31.5" outlineLevel="2" x14ac:dyDescent="0.25">
      <c r="A27" s="687" t="s">
        <v>5381</v>
      </c>
      <c r="B27" s="688" t="s">
        <v>5</v>
      </c>
      <c r="C27" s="688">
        <v>2</v>
      </c>
      <c r="D27" s="689">
        <v>285.70999999999998</v>
      </c>
      <c r="E27" s="685">
        <f t="shared" ref="E27:E45" si="4">D27*(1+$C$1)</f>
        <v>285.70999999999998</v>
      </c>
      <c r="F27" s="686">
        <f t="shared" ref="F27:F45" si="5">TRUNC((E27*C27),2)</f>
        <v>571.41999999999996</v>
      </c>
    </row>
    <row r="28" spans="1:6" s="57" customFormat="1" ht="31.5" outlineLevel="2" x14ac:dyDescent="0.25">
      <c r="A28" s="687" t="s">
        <v>5382</v>
      </c>
      <c r="B28" s="688" t="s">
        <v>5</v>
      </c>
      <c r="C28" s="688">
        <v>3</v>
      </c>
      <c r="D28" s="689">
        <v>4.05</v>
      </c>
      <c r="E28" s="685">
        <f t="shared" si="4"/>
        <v>4.05</v>
      </c>
      <c r="F28" s="686">
        <f t="shared" si="5"/>
        <v>12.15</v>
      </c>
    </row>
    <row r="29" spans="1:6" s="57" customFormat="1" ht="31.5" outlineLevel="2" x14ac:dyDescent="0.25">
      <c r="A29" s="687" t="s">
        <v>5383</v>
      </c>
      <c r="B29" s="688" t="s">
        <v>5</v>
      </c>
      <c r="C29" s="688">
        <f>32+8</f>
        <v>40</v>
      </c>
      <c r="D29" s="689">
        <v>4.71</v>
      </c>
      <c r="E29" s="685">
        <f t="shared" si="4"/>
        <v>4.71</v>
      </c>
      <c r="F29" s="686">
        <f t="shared" si="5"/>
        <v>188.4</v>
      </c>
    </row>
    <row r="30" spans="1:6" s="57" customFormat="1" ht="31.5" outlineLevel="2" x14ac:dyDescent="0.25">
      <c r="A30" s="687" t="s">
        <v>5384</v>
      </c>
      <c r="B30" s="688" t="s">
        <v>5</v>
      </c>
      <c r="C30" s="688">
        <f>28+14</f>
        <v>42</v>
      </c>
      <c r="D30" s="689">
        <v>7.71</v>
      </c>
      <c r="E30" s="685">
        <f t="shared" si="4"/>
        <v>7.71</v>
      </c>
      <c r="F30" s="686">
        <f t="shared" si="5"/>
        <v>323.82</v>
      </c>
    </row>
    <row r="31" spans="1:6" s="57" customFormat="1" ht="31.5" outlineLevel="2" x14ac:dyDescent="0.25">
      <c r="A31" s="687" t="s">
        <v>5385</v>
      </c>
      <c r="B31" s="688" t="s">
        <v>5</v>
      </c>
      <c r="C31" s="688">
        <f>4+6</f>
        <v>10</v>
      </c>
      <c r="D31" s="689">
        <v>14.47</v>
      </c>
      <c r="E31" s="685">
        <f t="shared" si="4"/>
        <v>14.47</v>
      </c>
      <c r="F31" s="686">
        <f t="shared" si="5"/>
        <v>144.69999999999999</v>
      </c>
    </row>
    <row r="32" spans="1:6" s="57" customFormat="1" ht="31.5" outlineLevel="2" x14ac:dyDescent="0.25">
      <c r="A32" s="687" t="s">
        <v>5386</v>
      </c>
      <c r="B32" s="688" t="s">
        <v>5</v>
      </c>
      <c r="C32" s="688">
        <v>6</v>
      </c>
      <c r="D32" s="689">
        <v>23.55</v>
      </c>
      <c r="E32" s="685">
        <f t="shared" si="4"/>
        <v>23.55</v>
      </c>
      <c r="F32" s="686">
        <f t="shared" si="5"/>
        <v>141.30000000000001</v>
      </c>
    </row>
    <row r="33" spans="1:8" s="57" customFormat="1" ht="31.5" outlineLevel="2" x14ac:dyDescent="0.25">
      <c r="A33" s="687" t="s">
        <v>5387</v>
      </c>
      <c r="B33" s="688" t="s">
        <v>5</v>
      </c>
      <c r="C33" s="688">
        <v>4</v>
      </c>
      <c r="D33" s="689">
        <v>32.82</v>
      </c>
      <c r="E33" s="685">
        <f t="shared" si="4"/>
        <v>32.82</v>
      </c>
      <c r="F33" s="686">
        <f t="shared" si="5"/>
        <v>131.28</v>
      </c>
    </row>
    <row r="34" spans="1:8" s="57" customFormat="1" outlineLevel="2" x14ac:dyDescent="0.25">
      <c r="A34" s="687" t="s">
        <v>5388</v>
      </c>
      <c r="B34" s="688" t="s">
        <v>5</v>
      </c>
      <c r="C34" s="688">
        <f>9+10</f>
        <v>19</v>
      </c>
      <c r="D34" s="689">
        <v>10.130000000000001</v>
      </c>
      <c r="E34" s="685">
        <f t="shared" si="4"/>
        <v>10.130000000000001</v>
      </c>
      <c r="F34" s="686">
        <f t="shared" si="5"/>
        <v>192.47</v>
      </c>
    </row>
    <row r="35" spans="1:8" s="57" customFormat="1" outlineLevel="2" x14ac:dyDescent="0.25">
      <c r="A35" s="687" t="s">
        <v>5389</v>
      </c>
      <c r="B35" s="688" t="s">
        <v>5</v>
      </c>
      <c r="C35" s="688">
        <v>1</v>
      </c>
      <c r="D35" s="689">
        <v>18.18</v>
      </c>
      <c r="E35" s="685">
        <f t="shared" si="4"/>
        <v>18.18</v>
      </c>
      <c r="F35" s="686">
        <f t="shared" si="5"/>
        <v>18.18</v>
      </c>
    </row>
    <row r="36" spans="1:8" s="57" customFormat="1" outlineLevel="2" x14ac:dyDescent="0.25">
      <c r="A36" s="687" t="s">
        <v>5390</v>
      </c>
      <c r="B36" s="688" t="s">
        <v>5</v>
      </c>
      <c r="C36" s="688">
        <f>15+7</f>
        <v>22</v>
      </c>
      <c r="D36" s="689">
        <v>7.72</v>
      </c>
      <c r="E36" s="685">
        <f t="shared" si="4"/>
        <v>7.72</v>
      </c>
      <c r="F36" s="686">
        <f t="shared" si="5"/>
        <v>169.84</v>
      </c>
    </row>
    <row r="37" spans="1:8" s="57" customFormat="1" outlineLevel="2" x14ac:dyDescent="0.25">
      <c r="A37" s="687" t="s">
        <v>5391</v>
      </c>
      <c r="B37" s="688" t="s">
        <v>5</v>
      </c>
      <c r="C37" s="688">
        <v>8</v>
      </c>
      <c r="D37" s="689">
        <v>13.25</v>
      </c>
      <c r="E37" s="685">
        <f t="shared" si="4"/>
        <v>13.25</v>
      </c>
      <c r="F37" s="686">
        <f t="shared" si="5"/>
        <v>106</v>
      </c>
    </row>
    <row r="38" spans="1:8" s="57" customFormat="1" outlineLevel="2" x14ac:dyDescent="0.25">
      <c r="A38" s="687" t="s">
        <v>5392</v>
      </c>
      <c r="B38" s="688" t="s">
        <v>5</v>
      </c>
      <c r="C38" s="688">
        <v>6</v>
      </c>
      <c r="D38" s="689">
        <v>16.239999999999998</v>
      </c>
      <c r="E38" s="685">
        <f t="shared" si="4"/>
        <v>16.239999999999998</v>
      </c>
      <c r="F38" s="686">
        <f t="shared" si="5"/>
        <v>97.44</v>
      </c>
    </row>
    <row r="39" spans="1:8" s="57" customFormat="1" outlineLevel="2" x14ac:dyDescent="0.25">
      <c r="A39" s="687" t="s">
        <v>5393</v>
      </c>
      <c r="B39" s="688" t="s">
        <v>5</v>
      </c>
      <c r="C39" s="688">
        <v>3</v>
      </c>
      <c r="D39" s="689">
        <v>26.82</v>
      </c>
      <c r="E39" s="685">
        <f t="shared" si="4"/>
        <v>26.82</v>
      </c>
      <c r="F39" s="686">
        <f t="shared" si="5"/>
        <v>80.459999999999994</v>
      </c>
    </row>
    <row r="40" spans="1:8" s="57" customFormat="1" outlineLevel="2" x14ac:dyDescent="0.25">
      <c r="A40" s="687" t="s">
        <v>5394</v>
      </c>
      <c r="B40" s="688" t="s">
        <v>5</v>
      </c>
      <c r="C40" s="688">
        <v>2</v>
      </c>
      <c r="D40" s="689">
        <v>3.04</v>
      </c>
      <c r="E40" s="685">
        <f t="shared" si="4"/>
        <v>3.04</v>
      </c>
      <c r="F40" s="686">
        <f t="shared" si="5"/>
        <v>6.08</v>
      </c>
    </row>
    <row r="41" spans="1:8" s="57" customFormat="1" outlineLevel="2" x14ac:dyDescent="0.25">
      <c r="A41" s="687" t="s">
        <v>5395</v>
      </c>
      <c r="B41" s="688" t="s">
        <v>5</v>
      </c>
      <c r="C41" s="688">
        <f>37+7</f>
        <v>44</v>
      </c>
      <c r="D41" s="689">
        <v>3.25</v>
      </c>
      <c r="E41" s="685">
        <f t="shared" si="4"/>
        <v>3.25</v>
      </c>
      <c r="F41" s="686">
        <f t="shared" si="5"/>
        <v>143</v>
      </c>
    </row>
    <row r="42" spans="1:8" s="57" customFormat="1" outlineLevel="2" x14ac:dyDescent="0.25">
      <c r="A42" s="687" t="s">
        <v>5396</v>
      </c>
      <c r="B42" s="688" t="s">
        <v>5</v>
      </c>
      <c r="C42" s="688">
        <f>26+5</f>
        <v>31</v>
      </c>
      <c r="D42" s="689">
        <v>10.07</v>
      </c>
      <c r="E42" s="685">
        <f t="shared" si="4"/>
        <v>10.07</v>
      </c>
      <c r="F42" s="686">
        <f t="shared" si="5"/>
        <v>312.17</v>
      </c>
    </row>
    <row r="43" spans="1:8" s="57" customFormat="1" outlineLevel="2" x14ac:dyDescent="0.25">
      <c r="A43" s="687" t="s">
        <v>5397</v>
      </c>
      <c r="B43" s="688" t="s">
        <v>5</v>
      </c>
      <c r="C43" s="688">
        <f>6+9</f>
        <v>15</v>
      </c>
      <c r="D43" s="689">
        <v>29</v>
      </c>
      <c r="E43" s="685">
        <f t="shared" si="4"/>
        <v>29</v>
      </c>
      <c r="F43" s="686">
        <f t="shared" si="5"/>
        <v>435</v>
      </c>
    </row>
    <row r="44" spans="1:8" s="57" customFormat="1" ht="22.5" customHeight="1" outlineLevel="2" x14ac:dyDescent="0.25">
      <c r="A44" s="687" t="s">
        <v>5398</v>
      </c>
      <c r="B44" s="688" t="s">
        <v>5</v>
      </c>
      <c r="C44" s="688">
        <v>10</v>
      </c>
      <c r="D44" s="689">
        <v>80.599999999999994</v>
      </c>
      <c r="E44" s="685">
        <f t="shared" si="4"/>
        <v>80.599999999999994</v>
      </c>
      <c r="F44" s="686">
        <f t="shared" si="5"/>
        <v>806</v>
      </c>
    </row>
    <row r="45" spans="1:8" s="57" customFormat="1" ht="23.25" customHeight="1" outlineLevel="2" x14ac:dyDescent="0.25">
      <c r="A45" s="687" t="s">
        <v>5399</v>
      </c>
      <c r="B45" s="688" t="s">
        <v>5</v>
      </c>
      <c r="C45" s="688">
        <v>12</v>
      </c>
      <c r="D45" s="689">
        <v>90.97</v>
      </c>
      <c r="E45" s="685">
        <f t="shared" si="4"/>
        <v>90.97</v>
      </c>
      <c r="F45" s="686">
        <f t="shared" si="5"/>
        <v>1091.6400000000001</v>
      </c>
      <c r="H45" s="693"/>
    </row>
    <row r="46" spans="1:8" s="57" customFormat="1" ht="22.5" customHeight="1" outlineLevel="2" x14ac:dyDescent="0.25">
      <c r="A46" s="687" t="s">
        <v>5400</v>
      </c>
      <c r="B46" s="688" t="s">
        <v>5</v>
      </c>
      <c r="C46" s="688">
        <v>1</v>
      </c>
      <c r="D46" s="689"/>
      <c r="E46" s="685"/>
      <c r="F46" s="686"/>
      <c r="H46" s="693"/>
    </row>
    <row r="47" spans="1:8" s="57" customFormat="1" ht="24" customHeight="1" outlineLevel="2" x14ac:dyDescent="0.25">
      <c r="A47" s="687" t="s">
        <v>5401</v>
      </c>
      <c r="B47" s="688" t="s">
        <v>75</v>
      </c>
      <c r="C47" s="688">
        <v>1.1499999999999999</v>
      </c>
      <c r="D47" s="689">
        <v>5.41</v>
      </c>
      <c r="E47" s="685">
        <f t="shared" ref="E47:E55" si="6">D47*(1+$C$1)</f>
        <v>5.41</v>
      </c>
      <c r="F47" s="686">
        <f t="shared" ref="F47:F55" si="7">TRUNC((E47*C47),2)</f>
        <v>6.22</v>
      </c>
    </row>
    <row r="48" spans="1:8" s="57" customFormat="1" ht="21.75" customHeight="1" outlineLevel="2" x14ac:dyDescent="0.25">
      <c r="A48" s="687" t="s">
        <v>1092</v>
      </c>
      <c r="B48" s="688" t="s">
        <v>75</v>
      </c>
      <c r="C48" s="688">
        <f>82.81+15.7</f>
        <v>98.51</v>
      </c>
      <c r="D48" s="689">
        <v>6.69</v>
      </c>
      <c r="E48" s="685">
        <f t="shared" si="6"/>
        <v>6.69</v>
      </c>
      <c r="F48" s="686">
        <f t="shared" si="7"/>
        <v>659.03</v>
      </c>
    </row>
    <row r="49" spans="1:6" s="57" customFormat="1" outlineLevel="2" x14ac:dyDescent="0.25">
      <c r="A49" s="687" t="s">
        <v>5402</v>
      </c>
      <c r="B49" s="688" t="s">
        <v>75</v>
      </c>
      <c r="C49" s="688">
        <f>81.28+20.9</f>
        <v>102.18</v>
      </c>
      <c r="D49" s="689">
        <v>12.74</v>
      </c>
      <c r="E49" s="685">
        <f t="shared" si="6"/>
        <v>12.74</v>
      </c>
      <c r="F49" s="686">
        <f t="shared" si="7"/>
        <v>1301.77</v>
      </c>
    </row>
    <row r="50" spans="1:6" s="57" customFormat="1" outlineLevel="2" x14ac:dyDescent="0.25">
      <c r="A50" s="687" t="s">
        <v>5403</v>
      </c>
      <c r="B50" s="688" t="s">
        <v>75</v>
      </c>
      <c r="C50" s="688">
        <f>22.57+11.73</f>
        <v>34.299999999999997</v>
      </c>
      <c r="D50" s="689">
        <v>19.489999999999998</v>
      </c>
      <c r="E50" s="685">
        <f t="shared" si="6"/>
        <v>19.489999999999998</v>
      </c>
      <c r="F50" s="686">
        <f t="shared" si="7"/>
        <v>668.5</v>
      </c>
    </row>
    <row r="51" spans="1:6" s="57" customFormat="1" outlineLevel="2" x14ac:dyDescent="0.25">
      <c r="A51" s="687" t="s">
        <v>5404</v>
      </c>
      <c r="B51" s="688" t="s">
        <v>75</v>
      </c>
      <c r="C51" s="688">
        <v>22.34</v>
      </c>
      <c r="D51" s="689">
        <v>27.16</v>
      </c>
      <c r="E51" s="685">
        <f t="shared" si="6"/>
        <v>27.16</v>
      </c>
      <c r="F51" s="686">
        <f t="shared" si="7"/>
        <v>606.75</v>
      </c>
    </row>
    <row r="52" spans="1:6" s="57" customFormat="1" outlineLevel="2" x14ac:dyDescent="0.25">
      <c r="A52" s="687" t="s">
        <v>5405</v>
      </c>
      <c r="B52" s="688" t="s">
        <v>75</v>
      </c>
      <c r="C52" s="688">
        <f>105.64+15.16</f>
        <v>120.8</v>
      </c>
      <c r="D52" s="689">
        <v>34.049999999999997</v>
      </c>
      <c r="E52" s="685">
        <f t="shared" si="6"/>
        <v>34.049999999999997</v>
      </c>
      <c r="F52" s="686">
        <f t="shared" si="7"/>
        <v>4113.24</v>
      </c>
    </row>
    <row r="53" spans="1:6" s="57" customFormat="1" outlineLevel="2" x14ac:dyDescent="0.25">
      <c r="A53" s="687" t="s">
        <v>5406</v>
      </c>
      <c r="B53" s="688" t="s">
        <v>5</v>
      </c>
      <c r="C53" s="688">
        <v>7</v>
      </c>
      <c r="D53" s="689">
        <v>8.59</v>
      </c>
      <c r="E53" s="685">
        <f t="shared" si="6"/>
        <v>8.59</v>
      </c>
      <c r="F53" s="686">
        <f t="shared" si="7"/>
        <v>60.13</v>
      </c>
    </row>
    <row r="54" spans="1:6" s="57" customFormat="1" ht="31.5" outlineLevel="2" x14ac:dyDescent="0.25">
      <c r="A54" s="687" t="s">
        <v>5407</v>
      </c>
      <c r="B54" s="688" t="s">
        <v>5</v>
      </c>
      <c r="C54" s="688">
        <v>4</v>
      </c>
      <c r="D54" s="689">
        <v>10.85</v>
      </c>
      <c r="E54" s="685">
        <f t="shared" si="6"/>
        <v>10.85</v>
      </c>
      <c r="F54" s="686">
        <f t="shared" si="7"/>
        <v>43.4</v>
      </c>
    </row>
    <row r="55" spans="1:6" s="57" customFormat="1" ht="31.5" outlineLevel="2" x14ac:dyDescent="0.25">
      <c r="A55" s="687" t="s">
        <v>5408</v>
      </c>
      <c r="B55" s="688" t="s">
        <v>5</v>
      </c>
      <c r="C55" s="688">
        <v>23</v>
      </c>
      <c r="D55" s="689">
        <v>13.71</v>
      </c>
      <c r="E55" s="685">
        <f t="shared" si="6"/>
        <v>13.71</v>
      </c>
      <c r="F55" s="686">
        <f t="shared" si="7"/>
        <v>315.33</v>
      </c>
    </row>
    <row r="56" spans="1:6" s="57" customFormat="1" outlineLevel="2" x14ac:dyDescent="0.25">
      <c r="A56" s="687" t="s">
        <v>5409</v>
      </c>
      <c r="B56" s="688" t="s">
        <v>5</v>
      </c>
      <c r="C56" s="688">
        <v>3</v>
      </c>
      <c r="D56" s="689">
        <v>202.49</v>
      </c>
      <c r="E56" s="685">
        <f>D56*(1+$C$1)</f>
        <v>202.49</v>
      </c>
      <c r="F56" s="686">
        <f>TRUNC((E56*C56),2)</f>
        <v>607.47</v>
      </c>
    </row>
    <row r="57" spans="1:6" s="57" customFormat="1" outlineLevel="2" x14ac:dyDescent="0.25">
      <c r="A57" s="687" t="s">
        <v>5410</v>
      </c>
      <c r="B57" s="688" t="s">
        <v>5</v>
      </c>
      <c r="C57" s="688">
        <v>2</v>
      </c>
      <c r="D57" s="689">
        <v>353.16</v>
      </c>
      <c r="E57" s="685">
        <f>D57*(1+$C$1)</f>
        <v>353.16</v>
      </c>
      <c r="F57" s="686">
        <f>TRUNC((E57*C57),2)</f>
        <v>706.32</v>
      </c>
    </row>
    <row r="58" spans="1:6" s="57" customFormat="1" outlineLevel="2" x14ac:dyDescent="0.25">
      <c r="A58" s="687" t="s">
        <v>5411</v>
      </c>
      <c r="B58" s="688" t="s">
        <v>5</v>
      </c>
      <c r="C58" s="688">
        <v>5</v>
      </c>
      <c r="D58" s="689">
        <v>111.29</v>
      </c>
      <c r="E58" s="685">
        <f>D58*(1+$C$1)</f>
        <v>111.29</v>
      </c>
      <c r="F58" s="686">
        <f>TRUNC((E58*C58),2)</f>
        <v>556.45000000000005</v>
      </c>
    </row>
    <row r="59" spans="1:6" s="57" customFormat="1" ht="31.5" outlineLevel="2" x14ac:dyDescent="0.25">
      <c r="A59" s="687" t="s">
        <v>5412</v>
      </c>
      <c r="B59" s="688" t="s">
        <v>5</v>
      </c>
      <c r="C59" s="688">
        <v>15</v>
      </c>
      <c r="D59" s="689">
        <v>63.42</v>
      </c>
      <c r="E59" s="685">
        <f t="shared" ref="E59:E76" si="8">D59*(1+$C$1)</f>
        <v>63.42</v>
      </c>
      <c r="F59" s="686">
        <f t="shared" ref="F59:F76" si="9">TRUNC((E59*C59),2)</f>
        <v>951.3</v>
      </c>
    </row>
    <row r="60" spans="1:6" s="57" customFormat="1" ht="31.5" outlineLevel="2" x14ac:dyDescent="0.25">
      <c r="A60" s="687" t="s">
        <v>5413</v>
      </c>
      <c r="B60" s="688" t="s">
        <v>5</v>
      </c>
      <c r="C60" s="688">
        <v>8</v>
      </c>
      <c r="D60" s="689">
        <v>60.31</v>
      </c>
      <c r="E60" s="685">
        <f t="shared" si="8"/>
        <v>60.31</v>
      </c>
      <c r="F60" s="686">
        <f t="shared" si="9"/>
        <v>482.48</v>
      </c>
    </row>
    <row r="61" spans="1:6" s="57" customFormat="1" outlineLevel="2" x14ac:dyDescent="0.25">
      <c r="A61" s="687" t="s">
        <v>5414</v>
      </c>
      <c r="B61" s="688" t="s">
        <v>5</v>
      </c>
      <c r="C61" s="688">
        <v>9</v>
      </c>
      <c r="D61" s="689">
        <v>86.2</v>
      </c>
      <c r="E61" s="685">
        <f t="shared" si="8"/>
        <v>86.2</v>
      </c>
      <c r="F61" s="686">
        <f t="shared" si="9"/>
        <v>775.8</v>
      </c>
    </row>
    <row r="62" spans="1:6" s="57" customFormat="1" outlineLevel="2" x14ac:dyDescent="0.25">
      <c r="A62" s="687" t="s">
        <v>5415</v>
      </c>
      <c r="B62" s="688" t="s">
        <v>5</v>
      </c>
      <c r="C62" s="688">
        <v>7</v>
      </c>
      <c r="D62" s="689">
        <v>15.62</v>
      </c>
      <c r="E62" s="685">
        <f t="shared" si="8"/>
        <v>15.62</v>
      </c>
      <c r="F62" s="686">
        <f t="shared" si="9"/>
        <v>109.34</v>
      </c>
    </row>
    <row r="63" spans="1:6" s="57" customFormat="1" outlineLevel="2" x14ac:dyDescent="0.25">
      <c r="A63" s="687" t="s">
        <v>5416</v>
      </c>
      <c r="B63" s="688" t="s">
        <v>5</v>
      </c>
      <c r="C63" s="688">
        <f>8+5</f>
        <v>13</v>
      </c>
      <c r="D63" s="689">
        <v>33.31</v>
      </c>
      <c r="E63" s="685">
        <f t="shared" si="8"/>
        <v>33.31</v>
      </c>
      <c r="F63" s="686">
        <f t="shared" si="9"/>
        <v>433.03</v>
      </c>
    </row>
    <row r="64" spans="1:6" s="57" customFormat="1" outlineLevel="2" x14ac:dyDescent="0.25">
      <c r="A64" s="687" t="s">
        <v>5417</v>
      </c>
      <c r="B64" s="688" t="s">
        <v>5</v>
      </c>
      <c r="C64" s="688">
        <v>2</v>
      </c>
      <c r="D64" s="689">
        <v>59.48</v>
      </c>
      <c r="E64" s="685">
        <f t="shared" si="8"/>
        <v>59.48</v>
      </c>
      <c r="F64" s="686">
        <f t="shared" si="9"/>
        <v>118.96</v>
      </c>
    </row>
    <row r="65" spans="1:6" s="57" customFormat="1" outlineLevel="2" x14ac:dyDescent="0.25">
      <c r="A65" s="687" t="s">
        <v>5418</v>
      </c>
      <c r="B65" s="688" t="s">
        <v>5</v>
      </c>
      <c r="C65" s="688">
        <v>2</v>
      </c>
      <c r="D65" s="689">
        <v>88.01</v>
      </c>
      <c r="E65" s="685">
        <f t="shared" si="8"/>
        <v>88.01</v>
      </c>
      <c r="F65" s="686">
        <f t="shared" si="9"/>
        <v>176.02</v>
      </c>
    </row>
    <row r="66" spans="1:6" s="57" customFormat="1" outlineLevel="2" x14ac:dyDescent="0.25">
      <c r="A66" s="687" t="s">
        <v>5419</v>
      </c>
      <c r="B66" s="688" t="s">
        <v>5</v>
      </c>
      <c r="C66" s="688">
        <v>1</v>
      </c>
      <c r="D66" s="689">
        <v>15.34</v>
      </c>
      <c r="E66" s="685">
        <f t="shared" si="8"/>
        <v>15.34</v>
      </c>
      <c r="F66" s="686">
        <f t="shared" si="9"/>
        <v>15.34</v>
      </c>
    </row>
    <row r="67" spans="1:6" s="57" customFormat="1" outlineLevel="2" x14ac:dyDescent="0.25">
      <c r="A67" s="687" t="s">
        <v>5420</v>
      </c>
      <c r="B67" s="688" t="s">
        <v>5</v>
      </c>
      <c r="C67" s="688">
        <v>1</v>
      </c>
      <c r="D67" s="689">
        <v>15.34</v>
      </c>
      <c r="E67" s="685">
        <f t="shared" si="8"/>
        <v>15.34</v>
      </c>
      <c r="F67" s="686">
        <f t="shared" si="9"/>
        <v>15.34</v>
      </c>
    </row>
    <row r="68" spans="1:6" s="57" customFormat="1" outlineLevel="2" x14ac:dyDescent="0.25">
      <c r="A68" s="687" t="s">
        <v>5421</v>
      </c>
      <c r="B68" s="688" t="s">
        <v>5</v>
      </c>
      <c r="C68" s="688">
        <v>9</v>
      </c>
      <c r="D68" s="689">
        <v>15.34</v>
      </c>
      <c r="E68" s="685">
        <f t="shared" si="8"/>
        <v>15.34</v>
      </c>
      <c r="F68" s="686">
        <f t="shared" si="9"/>
        <v>138.06</v>
      </c>
    </row>
    <row r="69" spans="1:6" s="57" customFormat="1" outlineLevel="2" x14ac:dyDescent="0.25">
      <c r="A69" s="687" t="s">
        <v>5422</v>
      </c>
      <c r="B69" s="688" t="s">
        <v>5</v>
      </c>
      <c r="C69" s="688">
        <v>5</v>
      </c>
      <c r="D69" s="689">
        <v>50.83</v>
      </c>
      <c r="E69" s="685">
        <f t="shared" si="8"/>
        <v>50.83</v>
      </c>
      <c r="F69" s="686">
        <f t="shared" si="9"/>
        <v>254.15</v>
      </c>
    </row>
    <row r="70" spans="1:6" s="57" customFormat="1" outlineLevel="2" x14ac:dyDescent="0.25">
      <c r="A70" s="687" t="s">
        <v>5423</v>
      </c>
      <c r="B70" s="688" t="s">
        <v>5</v>
      </c>
      <c r="C70" s="688">
        <v>10</v>
      </c>
      <c r="D70" s="689">
        <v>75.180000000000007</v>
      </c>
      <c r="E70" s="685">
        <f t="shared" si="8"/>
        <v>75.180000000000007</v>
      </c>
      <c r="F70" s="686">
        <f t="shared" si="9"/>
        <v>751.8</v>
      </c>
    </row>
    <row r="71" spans="1:6" s="57" customFormat="1" outlineLevel="2" x14ac:dyDescent="0.25">
      <c r="A71" s="687" t="s">
        <v>5424</v>
      </c>
      <c r="B71" s="694" t="s">
        <v>5</v>
      </c>
      <c r="C71" s="695">
        <v>3</v>
      </c>
      <c r="D71" s="689">
        <v>68.02</v>
      </c>
      <c r="E71" s="685">
        <f t="shared" si="8"/>
        <v>68.02</v>
      </c>
      <c r="F71" s="686">
        <f t="shared" si="9"/>
        <v>204.06</v>
      </c>
    </row>
    <row r="72" spans="1:6" s="57" customFormat="1" ht="31.5" outlineLevel="2" x14ac:dyDescent="0.25">
      <c r="A72" s="687" t="s">
        <v>5425</v>
      </c>
      <c r="B72" s="688" t="s">
        <v>5</v>
      </c>
      <c r="C72" s="688">
        <f>11+8</f>
        <v>19</v>
      </c>
      <c r="D72" s="689">
        <v>7.5</v>
      </c>
      <c r="E72" s="685">
        <f t="shared" si="8"/>
        <v>7.5</v>
      </c>
      <c r="F72" s="686">
        <f t="shared" si="9"/>
        <v>142.5</v>
      </c>
    </row>
    <row r="73" spans="1:6" s="57" customFormat="1" ht="31.5" outlineLevel="2" x14ac:dyDescent="0.25">
      <c r="A73" s="687" t="s">
        <v>5426</v>
      </c>
      <c r="B73" s="688" t="s">
        <v>5</v>
      </c>
      <c r="C73" s="688">
        <v>3</v>
      </c>
      <c r="D73" s="689">
        <v>10.69</v>
      </c>
      <c r="E73" s="685">
        <f t="shared" si="8"/>
        <v>10.69</v>
      </c>
      <c r="F73" s="686">
        <f t="shared" si="9"/>
        <v>32.07</v>
      </c>
    </row>
    <row r="74" spans="1:6" s="57" customFormat="1" ht="31.5" outlineLevel="2" x14ac:dyDescent="0.25">
      <c r="A74" s="687" t="s">
        <v>5427</v>
      </c>
      <c r="B74" s="688" t="s">
        <v>5</v>
      </c>
      <c r="C74" s="688">
        <f>13+4</f>
        <v>17</v>
      </c>
      <c r="D74" s="689">
        <v>7.5</v>
      </c>
      <c r="E74" s="685">
        <f t="shared" si="8"/>
        <v>7.5</v>
      </c>
      <c r="F74" s="686">
        <f t="shared" si="9"/>
        <v>127.5</v>
      </c>
    </row>
    <row r="75" spans="1:6" s="57" customFormat="1" ht="31.5" outlineLevel="2" x14ac:dyDescent="0.25">
      <c r="A75" s="687" t="s">
        <v>5428</v>
      </c>
      <c r="B75" s="688" t="s">
        <v>5</v>
      </c>
      <c r="C75" s="688">
        <v>25</v>
      </c>
      <c r="D75" s="689">
        <v>13.71</v>
      </c>
      <c r="E75" s="685">
        <f t="shared" si="8"/>
        <v>13.71</v>
      </c>
      <c r="F75" s="686">
        <f t="shared" si="9"/>
        <v>342.75</v>
      </c>
    </row>
    <row r="76" spans="1:6" s="57" customFormat="1" ht="31.5" outlineLevel="2" x14ac:dyDescent="0.25">
      <c r="A76" s="687" t="s">
        <v>5429</v>
      </c>
      <c r="B76" s="688" t="s">
        <v>5</v>
      </c>
      <c r="C76" s="688">
        <v>4</v>
      </c>
      <c r="D76" s="689">
        <v>16.559999999999999</v>
      </c>
      <c r="E76" s="685">
        <f t="shared" si="8"/>
        <v>16.559999999999999</v>
      </c>
      <c r="F76" s="686">
        <f t="shared" si="9"/>
        <v>66.239999999999995</v>
      </c>
    </row>
    <row r="77" spans="1:6" s="57" customFormat="1" ht="6.75" customHeight="1" outlineLevel="1" x14ac:dyDescent="0.25">
      <c r="A77" s="1034"/>
      <c r="B77" s="753"/>
      <c r="C77" s="1035"/>
      <c r="D77" s="690"/>
      <c r="E77" s="691"/>
      <c r="F77" s="692">
        <f>SUM(F56:F76)</f>
        <v>7006.9800000000005</v>
      </c>
    </row>
    <row r="78" spans="1:6" s="57" customFormat="1" outlineLevel="1" x14ac:dyDescent="0.25">
      <c r="A78" s="1031" t="s">
        <v>162</v>
      </c>
      <c r="B78" s="1032"/>
      <c r="C78" s="1033"/>
      <c r="D78" s="689"/>
      <c r="E78" s="685"/>
      <c r="F78" s="686"/>
    </row>
    <row r="79" spans="1:6" s="57" customFormat="1" ht="31.5" outlineLevel="2" x14ac:dyDescent="0.25">
      <c r="A79" s="696" t="s">
        <v>1080</v>
      </c>
      <c r="B79" s="688" t="s">
        <v>5</v>
      </c>
      <c r="C79" s="688">
        <v>1</v>
      </c>
      <c r="D79" s="689">
        <v>17633.77</v>
      </c>
      <c r="E79" s="685">
        <f t="shared" ref="E79:E83" si="10">D79*(1+$C$1)</f>
        <v>17633.77</v>
      </c>
      <c r="F79" s="686">
        <f t="shared" ref="F79:F83" si="11">TRUNC((E79*C79),2)</f>
        <v>17633.77</v>
      </c>
    </row>
    <row r="80" spans="1:6" s="91" customFormat="1" outlineLevel="2" x14ac:dyDescent="0.25">
      <c r="A80" s="696" t="s">
        <v>5430</v>
      </c>
      <c r="B80" s="697" t="s">
        <v>5</v>
      </c>
      <c r="C80" s="697">
        <v>4</v>
      </c>
      <c r="D80" s="698">
        <v>973.06</v>
      </c>
      <c r="E80" s="685">
        <f t="shared" si="10"/>
        <v>973.06</v>
      </c>
      <c r="F80" s="686">
        <f t="shared" si="11"/>
        <v>3892.24</v>
      </c>
    </row>
    <row r="81" spans="1:6" s="91" customFormat="1" outlineLevel="2" x14ac:dyDescent="0.25">
      <c r="A81" s="696" t="s">
        <v>5431</v>
      </c>
      <c r="B81" s="697" t="s">
        <v>5</v>
      </c>
      <c r="C81" s="697">
        <v>2</v>
      </c>
      <c r="D81" s="698">
        <v>18242.97</v>
      </c>
      <c r="E81" s="685">
        <f t="shared" si="10"/>
        <v>18242.97</v>
      </c>
      <c r="F81" s="686">
        <f t="shared" si="11"/>
        <v>36485.94</v>
      </c>
    </row>
    <row r="82" spans="1:6" s="91" customFormat="1" outlineLevel="2" x14ac:dyDescent="0.25">
      <c r="A82" s="696" t="s">
        <v>5432</v>
      </c>
      <c r="B82" s="697" t="s">
        <v>5</v>
      </c>
      <c r="C82" s="697">
        <v>3</v>
      </c>
      <c r="D82" s="698">
        <v>63.87</v>
      </c>
      <c r="E82" s="685">
        <f t="shared" si="10"/>
        <v>63.87</v>
      </c>
      <c r="F82" s="686">
        <f t="shared" si="11"/>
        <v>191.61</v>
      </c>
    </row>
    <row r="83" spans="1:6" s="91" customFormat="1" outlineLevel="2" x14ac:dyDescent="0.25">
      <c r="A83" s="696" t="s">
        <v>5433</v>
      </c>
      <c r="B83" s="697" t="s">
        <v>5</v>
      </c>
      <c r="C83" s="697">
        <v>3</v>
      </c>
      <c r="D83" s="698">
        <v>77.760000000000005</v>
      </c>
      <c r="E83" s="685">
        <f t="shared" si="10"/>
        <v>77.760000000000005</v>
      </c>
      <c r="F83" s="686">
        <f t="shared" si="11"/>
        <v>233.28</v>
      </c>
    </row>
    <row r="84" spans="1:6" s="57" customFormat="1" ht="7.5" customHeight="1" outlineLevel="1" x14ac:dyDescent="0.25">
      <c r="A84" s="699"/>
      <c r="B84" s="700"/>
      <c r="C84" s="701"/>
      <c r="D84" s="690"/>
      <c r="E84" s="691"/>
      <c r="F84" s="692">
        <f>SUM(F79:F83)</f>
        <v>58436.840000000004</v>
      </c>
    </row>
    <row r="85" spans="1:6" s="57" customFormat="1" outlineLevel="1" x14ac:dyDescent="0.25">
      <c r="A85" s="1031" t="s">
        <v>5434</v>
      </c>
      <c r="B85" s="1032"/>
      <c r="C85" s="1033"/>
      <c r="D85" s="689"/>
      <c r="E85" s="685"/>
      <c r="F85" s="686"/>
    </row>
    <row r="86" spans="1:6" s="57" customFormat="1" outlineLevel="2" x14ac:dyDescent="0.25">
      <c r="A86" s="696" t="s">
        <v>5435</v>
      </c>
      <c r="B86" s="688" t="s">
        <v>5</v>
      </c>
      <c r="C86" s="688">
        <v>8</v>
      </c>
      <c r="D86" s="689">
        <v>162.6</v>
      </c>
      <c r="E86" s="685">
        <f t="shared" ref="E86:E93" si="12">D86*(1+$C$1)</f>
        <v>162.6</v>
      </c>
      <c r="F86" s="686">
        <f t="shared" ref="F86:F93" si="13">TRUNC((E86*C86),2)</f>
        <v>1300.8</v>
      </c>
    </row>
    <row r="87" spans="1:6" s="57" customFormat="1" ht="31.5" outlineLevel="2" x14ac:dyDescent="0.25">
      <c r="A87" s="696" t="s">
        <v>5436</v>
      </c>
      <c r="B87" s="688" t="s">
        <v>5</v>
      </c>
      <c r="C87" s="688">
        <v>8</v>
      </c>
      <c r="D87" s="689">
        <v>150.65</v>
      </c>
      <c r="E87" s="685">
        <f t="shared" si="12"/>
        <v>150.65</v>
      </c>
      <c r="F87" s="686">
        <f t="shared" si="13"/>
        <v>1205.2</v>
      </c>
    </row>
    <row r="88" spans="1:6" s="57" customFormat="1" ht="47.25" outlineLevel="2" x14ac:dyDescent="0.25">
      <c r="A88" s="696" t="s">
        <v>5437</v>
      </c>
      <c r="B88" s="688" t="s">
        <v>5</v>
      </c>
      <c r="C88" s="688">
        <v>3</v>
      </c>
      <c r="D88" s="689">
        <v>445.7</v>
      </c>
      <c r="E88" s="685">
        <f t="shared" si="12"/>
        <v>445.7</v>
      </c>
      <c r="F88" s="686">
        <f t="shared" si="13"/>
        <v>1337.1</v>
      </c>
    </row>
    <row r="89" spans="1:6" s="57" customFormat="1" outlineLevel="2" x14ac:dyDescent="0.25">
      <c r="A89" s="696" t="s">
        <v>5438</v>
      </c>
      <c r="B89" s="688" t="s">
        <v>5</v>
      </c>
      <c r="C89" s="688">
        <v>10</v>
      </c>
      <c r="D89" s="689">
        <v>108.12</v>
      </c>
      <c r="E89" s="685">
        <f t="shared" si="12"/>
        <v>108.12</v>
      </c>
      <c r="F89" s="686">
        <f t="shared" si="13"/>
        <v>1081.2</v>
      </c>
    </row>
    <row r="90" spans="1:6" s="57" customFormat="1" outlineLevel="2" x14ac:dyDescent="0.25">
      <c r="A90" s="696" t="s">
        <v>1083</v>
      </c>
      <c r="B90" s="688" t="s">
        <v>5</v>
      </c>
      <c r="C90" s="688">
        <v>10</v>
      </c>
      <c r="D90" s="689">
        <v>47.15</v>
      </c>
      <c r="E90" s="685">
        <f t="shared" si="12"/>
        <v>47.15</v>
      </c>
      <c r="F90" s="686">
        <f t="shared" si="13"/>
        <v>471.5</v>
      </c>
    </row>
    <row r="91" spans="1:6" s="57" customFormat="1" outlineLevel="2" x14ac:dyDescent="0.25">
      <c r="A91" s="696" t="s">
        <v>1085</v>
      </c>
      <c r="B91" s="688" t="s">
        <v>5</v>
      </c>
      <c r="C91" s="688">
        <v>8</v>
      </c>
      <c r="D91" s="689">
        <v>30.64</v>
      </c>
      <c r="E91" s="685">
        <f t="shared" si="12"/>
        <v>30.64</v>
      </c>
      <c r="F91" s="686">
        <f t="shared" si="13"/>
        <v>245.12</v>
      </c>
    </row>
    <row r="92" spans="1:6" s="57" customFormat="1" ht="31.5" outlineLevel="2" x14ac:dyDescent="0.25">
      <c r="A92" s="687" t="s">
        <v>1086</v>
      </c>
      <c r="B92" s="688" t="s">
        <v>5</v>
      </c>
      <c r="C92" s="688">
        <v>2</v>
      </c>
      <c r="D92" s="689">
        <v>50.83</v>
      </c>
      <c r="E92" s="685">
        <f t="shared" si="12"/>
        <v>50.83</v>
      </c>
      <c r="F92" s="686">
        <f t="shared" si="13"/>
        <v>101.66</v>
      </c>
    </row>
    <row r="93" spans="1:6" s="57" customFormat="1" ht="31.5" outlineLevel="2" x14ac:dyDescent="0.25">
      <c r="A93" s="696" t="s">
        <v>1087</v>
      </c>
      <c r="B93" s="688" t="s">
        <v>5</v>
      </c>
      <c r="C93" s="688">
        <v>2</v>
      </c>
      <c r="D93" s="689">
        <v>45.3</v>
      </c>
      <c r="E93" s="685">
        <f t="shared" si="12"/>
        <v>45.3</v>
      </c>
      <c r="F93" s="686">
        <f t="shared" si="13"/>
        <v>90.6</v>
      </c>
    </row>
    <row r="94" spans="1:6" s="57" customFormat="1" ht="5.25" customHeight="1" outlineLevel="1" x14ac:dyDescent="0.25">
      <c r="A94" s="1034"/>
      <c r="B94" s="753"/>
      <c r="C94" s="1035"/>
      <c r="D94" s="690"/>
      <c r="E94" s="691"/>
      <c r="F94" s="692">
        <f>SUM(F86:F93)</f>
        <v>5833.18</v>
      </c>
    </row>
    <row r="95" spans="1:6" s="57" customFormat="1" outlineLevel="1" x14ac:dyDescent="0.25">
      <c r="A95" s="1031" t="s">
        <v>3387</v>
      </c>
      <c r="B95" s="1032"/>
      <c r="C95" s="1033"/>
      <c r="D95" s="689"/>
      <c r="E95" s="685"/>
      <c r="F95" s="686"/>
    </row>
    <row r="96" spans="1:6" s="57" customFormat="1" outlineLevel="2" x14ac:dyDescent="0.25">
      <c r="A96" s="696" t="s">
        <v>5435</v>
      </c>
      <c r="B96" s="688" t="s">
        <v>5</v>
      </c>
      <c r="C96" s="688">
        <v>4</v>
      </c>
      <c r="D96" s="689">
        <v>162.6</v>
      </c>
      <c r="E96" s="685">
        <f t="shared" ref="E96:E103" si="14">D96*(1+$C$1)</f>
        <v>162.6</v>
      </c>
      <c r="F96" s="686">
        <f t="shared" ref="F96:F103" si="15">TRUNC((E96*C96),2)</f>
        <v>650.4</v>
      </c>
    </row>
    <row r="97" spans="1:6" s="57" customFormat="1" ht="31.5" outlineLevel="2" x14ac:dyDescent="0.25">
      <c r="A97" s="696" t="s">
        <v>5439</v>
      </c>
      <c r="B97" s="688" t="s">
        <v>5</v>
      </c>
      <c r="C97" s="688">
        <v>4</v>
      </c>
      <c r="D97" s="689">
        <v>150.65</v>
      </c>
      <c r="E97" s="685">
        <f t="shared" si="14"/>
        <v>150.65</v>
      </c>
      <c r="F97" s="686">
        <f t="shared" si="15"/>
        <v>602.6</v>
      </c>
    </row>
    <row r="98" spans="1:6" s="57" customFormat="1" outlineLevel="2" x14ac:dyDescent="0.25">
      <c r="A98" s="696" t="s">
        <v>1088</v>
      </c>
      <c r="B98" s="688" t="s">
        <v>5</v>
      </c>
      <c r="C98" s="688">
        <v>6</v>
      </c>
      <c r="D98" s="689">
        <v>54.93</v>
      </c>
      <c r="E98" s="685">
        <f t="shared" si="14"/>
        <v>54.93</v>
      </c>
      <c r="F98" s="686">
        <f t="shared" si="15"/>
        <v>329.58</v>
      </c>
    </row>
    <row r="99" spans="1:6" s="57" customFormat="1" ht="31.5" outlineLevel="2" x14ac:dyDescent="0.25">
      <c r="A99" s="696" t="s">
        <v>1082</v>
      </c>
      <c r="B99" s="688" t="s">
        <v>5</v>
      </c>
      <c r="C99" s="688">
        <v>4</v>
      </c>
      <c r="D99" s="689">
        <v>108.12</v>
      </c>
      <c r="E99" s="685">
        <f t="shared" si="14"/>
        <v>108.12</v>
      </c>
      <c r="F99" s="686">
        <f t="shared" si="15"/>
        <v>432.48</v>
      </c>
    </row>
    <row r="100" spans="1:6" s="57" customFormat="1" outlineLevel="2" x14ac:dyDescent="0.25">
      <c r="A100" s="696" t="s">
        <v>1083</v>
      </c>
      <c r="B100" s="688" t="s">
        <v>5</v>
      </c>
      <c r="C100" s="688">
        <v>4</v>
      </c>
      <c r="D100" s="689">
        <v>47.15</v>
      </c>
      <c r="E100" s="685">
        <f t="shared" si="14"/>
        <v>47.15</v>
      </c>
      <c r="F100" s="686">
        <f t="shared" si="15"/>
        <v>188.6</v>
      </c>
    </row>
    <row r="101" spans="1:6" s="57" customFormat="1" outlineLevel="2" x14ac:dyDescent="0.25">
      <c r="A101" s="696" t="s">
        <v>1085</v>
      </c>
      <c r="B101" s="688" t="s">
        <v>5</v>
      </c>
      <c r="C101" s="688">
        <v>4</v>
      </c>
      <c r="D101" s="689">
        <v>30.64</v>
      </c>
      <c r="E101" s="685">
        <f t="shared" si="14"/>
        <v>30.64</v>
      </c>
      <c r="F101" s="686">
        <f t="shared" si="15"/>
        <v>122.56</v>
      </c>
    </row>
    <row r="102" spans="1:6" s="57" customFormat="1" ht="31.5" outlineLevel="2" x14ac:dyDescent="0.25">
      <c r="A102" s="687" t="s">
        <v>1086</v>
      </c>
      <c r="B102" s="688" t="s">
        <v>5</v>
      </c>
      <c r="C102" s="688">
        <v>2</v>
      </c>
      <c r="D102" s="689">
        <v>50.83</v>
      </c>
      <c r="E102" s="685">
        <f t="shared" si="14"/>
        <v>50.83</v>
      </c>
      <c r="F102" s="686">
        <f t="shared" si="15"/>
        <v>101.66</v>
      </c>
    </row>
    <row r="103" spans="1:6" s="57" customFormat="1" ht="31.5" outlineLevel="2" x14ac:dyDescent="0.25">
      <c r="A103" s="696" t="s">
        <v>1087</v>
      </c>
      <c r="B103" s="688" t="s">
        <v>5</v>
      </c>
      <c r="C103" s="688">
        <v>2</v>
      </c>
      <c r="D103" s="689">
        <v>45.3</v>
      </c>
      <c r="E103" s="685">
        <f t="shared" si="14"/>
        <v>45.3</v>
      </c>
      <c r="F103" s="686">
        <f t="shared" si="15"/>
        <v>90.6</v>
      </c>
    </row>
    <row r="104" spans="1:6" s="57" customFormat="1" ht="7.5" customHeight="1" outlineLevel="1" x14ac:dyDescent="0.25">
      <c r="A104" s="1034"/>
      <c r="B104" s="753"/>
      <c r="C104" s="1035"/>
      <c r="D104" s="690"/>
      <c r="E104" s="691"/>
      <c r="F104" s="692">
        <f>SUM(F96:F103)</f>
        <v>2518.4799999999996</v>
      </c>
    </row>
    <row r="105" spans="1:6" s="57" customFormat="1" outlineLevel="1" x14ac:dyDescent="0.25">
      <c r="A105" s="1031" t="s">
        <v>3398</v>
      </c>
      <c r="B105" s="1032"/>
      <c r="C105" s="1033"/>
      <c r="D105" s="689"/>
      <c r="E105" s="685"/>
      <c r="F105" s="686"/>
    </row>
    <row r="106" spans="1:6" s="57" customFormat="1" outlineLevel="2" x14ac:dyDescent="0.25">
      <c r="A106" s="696" t="s">
        <v>5440</v>
      </c>
      <c r="B106" s="688" t="s">
        <v>5</v>
      </c>
      <c r="C106" s="688">
        <v>2</v>
      </c>
      <c r="D106" s="689">
        <v>163.44</v>
      </c>
      <c r="E106" s="685">
        <f t="shared" ref="E106:E111" si="16">D106*(1+$C$1)</f>
        <v>163.44</v>
      </c>
      <c r="F106" s="686">
        <f t="shared" ref="F106:F111" si="17">TRUNC((E106*C106),2)</f>
        <v>326.88</v>
      </c>
    </row>
    <row r="107" spans="1:6" s="57" customFormat="1" ht="31.5" outlineLevel="2" x14ac:dyDescent="0.25">
      <c r="A107" s="696" t="s">
        <v>5441</v>
      </c>
      <c r="B107" s="688" t="s">
        <v>5</v>
      </c>
      <c r="C107" s="688">
        <v>2</v>
      </c>
      <c r="D107" s="689">
        <v>360.33</v>
      </c>
      <c r="E107" s="685">
        <f t="shared" si="16"/>
        <v>360.33</v>
      </c>
      <c r="F107" s="686">
        <f t="shared" si="17"/>
        <v>720.66</v>
      </c>
    </row>
    <row r="108" spans="1:6" s="57" customFormat="1" outlineLevel="2" x14ac:dyDescent="0.25">
      <c r="A108" s="696" t="s">
        <v>1085</v>
      </c>
      <c r="B108" s="688" t="s">
        <v>5</v>
      </c>
      <c r="C108" s="688">
        <v>2</v>
      </c>
      <c r="D108" s="689">
        <v>30.64</v>
      </c>
      <c r="E108" s="685">
        <f t="shared" si="16"/>
        <v>30.64</v>
      </c>
      <c r="F108" s="686">
        <f t="shared" si="17"/>
        <v>61.28</v>
      </c>
    </row>
    <row r="109" spans="1:6" s="57" customFormat="1" ht="31.5" outlineLevel="2" x14ac:dyDescent="0.25">
      <c r="A109" s="687" t="s">
        <v>1086</v>
      </c>
      <c r="B109" s="688" t="s">
        <v>5</v>
      </c>
      <c r="C109" s="688">
        <v>2</v>
      </c>
      <c r="D109" s="689">
        <v>50.83</v>
      </c>
      <c r="E109" s="685">
        <f t="shared" si="16"/>
        <v>50.83</v>
      </c>
      <c r="F109" s="686">
        <f t="shared" si="17"/>
        <v>101.66</v>
      </c>
    </row>
    <row r="110" spans="1:6" s="57" customFormat="1" ht="31.5" outlineLevel="2" x14ac:dyDescent="0.25">
      <c r="A110" s="696" t="s">
        <v>1087</v>
      </c>
      <c r="B110" s="688" t="s">
        <v>5</v>
      </c>
      <c r="C110" s="688">
        <v>2</v>
      </c>
      <c r="D110" s="689">
        <v>45.3</v>
      </c>
      <c r="E110" s="685">
        <f t="shared" si="16"/>
        <v>45.3</v>
      </c>
      <c r="F110" s="686">
        <f t="shared" si="17"/>
        <v>90.6</v>
      </c>
    </row>
    <row r="111" spans="1:6" s="57" customFormat="1" outlineLevel="2" x14ac:dyDescent="0.25">
      <c r="A111" s="696" t="s">
        <v>5442</v>
      </c>
      <c r="B111" s="688" t="s">
        <v>5</v>
      </c>
      <c r="C111" s="688">
        <v>1</v>
      </c>
      <c r="D111" s="689">
        <v>897.74</v>
      </c>
      <c r="E111" s="685">
        <f t="shared" si="16"/>
        <v>897.74</v>
      </c>
      <c r="F111" s="686">
        <f t="shared" si="17"/>
        <v>897.74</v>
      </c>
    </row>
    <row r="112" spans="1:6" s="57" customFormat="1" ht="7.5" customHeight="1" outlineLevel="1" x14ac:dyDescent="0.25">
      <c r="A112" s="1034"/>
      <c r="B112" s="753"/>
      <c r="C112" s="1035"/>
      <c r="D112" s="690"/>
      <c r="E112" s="691"/>
      <c r="F112" s="692">
        <f>SUM(F106:F111)</f>
        <v>2198.8199999999997</v>
      </c>
    </row>
    <row r="113" spans="1:6" s="57" customFormat="1" outlineLevel="1" x14ac:dyDescent="0.25">
      <c r="A113" s="1031" t="s">
        <v>3408</v>
      </c>
      <c r="B113" s="1032"/>
      <c r="C113" s="1033"/>
      <c r="D113" s="689"/>
      <c r="E113" s="685"/>
      <c r="F113" s="686"/>
    </row>
    <row r="114" spans="1:6" s="57" customFormat="1" ht="31.5" outlineLevel="2" x14ac:dyDescent="0.25">
      <c r="A114" s="696" t="s">
        <v>5443</v>
      </c>
      <c r="B114" s="694" t="s">
        <v>5</v>
      </c>
      <c r="C114" s="695">
        <v>4</v>
      </c>
      <c r="D114" s="685">
        <v>194.44</v>
      </c>
      <c r="E114" s="685">
        <f t="shared" ref="E114:E115" si="18">D114*(1+$C$1)</f>
        <v>194.44</v>
      </c>
      <c r="F114" s="686">
        <f t="shared" ref="F114:F115" si="19">TRUNC((E114*C114),2)</f>
        <v>777.76</v>
      </c>
    </row>
    <row r="115" spans="1:6" s="57" customFormat="1" ht="47.25" outlineLevel="2" x14ac:dyDescent="0.25">
      <c r="A115" s="696" t="s">
        <v>5444</v>
      </c>
      <c r="B115" s="688" t="s">
        <v>5</v>
      </c>
      <c r="C115" s="688">
        <v>2</v>
      </c>
      <c r="D115" s="689">
        <v>1647.63</v>
      </c>
      <c r="E115" s="685">
        <f t="shared" si="18"/>
        <v>1647.63</v>
      </c>
      <c r="F115" s="686">
        <f t="shared" si="19"/>
        <v>3295.26</v>
      </c>
    </row>
    <row r="116" spans="1:6" s="57" customFormat="1" ht="7.5" customHeight="1" outlineLevel="1" x14ac:dyDescent="0.25">
      <c r="A116" s="1034"/>
      <c r="B116" s="753"/>
      <c r="C116" s="1035"/>
      <c r="D116" s="690"/>
      <c r="E116" s="691"/>
      <c r="F116" s="692">
        <f>SUM(F114:F115)</f>
        <v>4073.0200000000004</v>
      </c>
    </row>
    <row r="117" spans="1:6" s="57" customFormat="1" ht="31.5" customHeight="1" outlineLevel="1" x14ac:dyDescent="0.25">
      <c r="A117" s="1031" t="s">
        <v>3415</v>
      </c>
      <c r="B117" s="1032"/>
      <c r="C117" s="1033"/>
      <c r="D117" s="689"/>
      <c r="E117" s="685"/>
      <c r="F117" s="686"/>
    </row>
    <row r="118" spans="1:6" s="57" customFormat="1" ht="110.25" outlineLevel="2" x14ac:dyDescent="0.25">
      <c r="A118" s="696" t="s">
        <v>5445</v>
      </c>
      <c r="B118" s="688" t="s">
        <v>5</v>
      </c>
      <c r="C118" s="688">
        <v>2</v>
      </c>
      <c r="D118" s="689">
        <v>4295.2299999999996</v>
      </c>
      <c r="E118" s="685">
        <f t="shared" ref="E118:E123" si="20">D118*(1+$C$1)</f>
        <v>4295.2299999999996</v>
      </c>
      <c r="F118" s="686">
        <f t="shared" ref="F118:F123" si="21">TRUNC((E118*C118),2)</f>
        <v>8590.4599999999991</v>
      </c>
    </row>
    <row r="119" spans="1:6" s="91" customFormat="1" ht="110.25" outlineLevel="2" x14ac:dyDescent="0.25">
      <c r="A119" s="696" t="s">
        <v>5446</v>
      </c>
      <c r="B119" s="697" t="s">
        <v>5</v>
      </c>
      <c r="C119" s="697">
        <v>1</v>
      </c>
      <c r="D119" s="698">
        <v>3685.23</v>
      </c>
      <c r="E119" s="702">
        <f t="shared" si="20"/>
        <v>3685.23</v>
      </c>
      <c r="F119" s="703">
        <f t="shared" si="21"/>
        <v>3685.23</v>
      </c>
    </row>
    <row r="120" spans="1:6" s="91" customFormat="1" ht="110.25" outlineLevel="2" x14ac:dyDescent="0.25">
      <c r="A120" s="696" t="s">
        <v>5447</v>
      </c>
      <c r="B120" s="697" t="s">
        <v>5</v>
      </c>
      <c r="C120" s="697">
        <v>1</v>
      </c>
      <c r="D120" s="698">
        <v>3685.23</v>
      </c>
      <c r="E120" s="702">
        <f t="shared" si="20"/>
        <v>3685.23</v>
      </c>
      <c r="F120" s="703">
        <f t="shared" si="21"/>
        <v>3685.23</v>
      </c>
    </row>
    <row r="121" spans="1:6" s="57" customFormat="1" outlineLevel="2" x14ac:dyDescent="0.25">
      <c r="A121" s="696" t="s">
        <v>5448</v>
      </c>
      <c r="B121" s="688" t="s">
        <v>5</v>
      </c>
      <c r="C121" s="688">
        <v>13</v>
      </c>
      <c r="D121" s="689">
        <v>152.16</v>
      </c>
      <c r="E121" s="685">
        <f t="shared" si="20"/>
        <v>152.16</v>
      </c>
      <c r="F121" s="686">
        <f t="shared" si="21"/>
        <v>1978.08</v>
      </c>
    </row>
    <row r="122" spans="1:6" s="57" customFormat="1" ht="63" outlineLevel="2" x14ac:dyDescent="0.25">
      <c r="A122" s="696" t="s">
        <v>5449</v>
      </c>
      <c r="B122" s="688" t="s">
        <v>5</v>
      </c>
      <c r="C122" s="688">
        <v>1</v>
      </c>
      <c r="D122" s="689">
        <v>163.44</v>
      </c>
      <c r="E122" s="685">
        <f t="shared" si="20"/>
        <v>163.44</v>
      </c>
      <c r="F122" s="686">
        <f t="shared" si="21"/>
        <v>163.44</v>
      </c>
    </row>
    <row r="123" spans="1:6" s="57" customFormat="1" ht="47.25" outlineLevel="2" x14ac:dyDescent="0.25">
      <c r="A123" s="696" t="s">
        <v>5450</v>
      </c>
      <c r="B123" s="688" t="s">
        <v>5</v>
      </c>
      <c r="C123" s="688">
        <v>1</v>
      </c>
      <c r="D123" s="689">
        <v>374.09</v>
      </c>
      <c r="E123" s="685">
        <f t="shared" si="20"/>
        <v>374.09</v>
      </c>
      <c r="F123" s="686">
        <f t="shared" si="21"/>
        <v>374.09</v>
      </c>
    </row>
    <row r="124" spans="1:6" s="57" customFormat="1" ht="6" customHeight="1" outlineLevel="1" x14ac:dyDescent="0.25">
      <c r="A124" s="1034"/>
      <c r="B124" s="753"/>
      <c r="C124" s="1035"/>
      <c r="D124" s="690"/>
      <c r="E124" s="691"/>
      <c r="F124" s="692">
        <f>SUM(F118:F123)</f>
        <v>18476.53</v>
      </c>
    </row>
    <row r="125" spans="1:6" s="57" customFormat="1" outlineLevel="1" x14ac:dyDescent="0.25">
      <c r="A125" s="1031" t="s">
        <v>3426</v>
      </c>
      <c r="B125" s="1032"/>
      <c r="C125" s="1033"/>
      <c r="D125" s="689"/>
      <c r="E125" s="685"/>
      <c r="F125" s="686"/>
    </row>
    <row r="126" spans="1:6" s="57" customFormat="1" ht="47.25" outlineLevel="2" x14ac:dyDescent="0.25">
      <c r="A126" s="687" t="s">
        <v>1084</v>
      </c>
      <c r="B126" s="688" t="s">
        <v>5</v>
      </c>
      <c r="C126" s="688">
        <v>2</v>
      </c>
      <c r="D126" s="689">
        <v>163.44</v>
      </c>
      <c r="E126" s="685">
        <f t="shared" ref="E126:E131" si="22">D126*(1+$C$1)</f>
        <v>163.44</v>
      </c>
      <c r="F126" s="686">
        <f t="shared" ref="F126:F131" si="23">TRUNC((E126*C126),2)</f>
        <v>326.88</v>
      </c>
    </row>
    <row r="127" spans="1:6" s="57" customFormat="1" ht="31.5" outlineLevel="2" x14ac:dyDescent="0.25">
      <c r="A127" s="687" t="s">
        <v>5441</v>
      </c>
      <c r="B127" s="688" t="s">
        <v>5</v>
      </c>
      <c r="C127" s="688">
        <v>2</v>
      </c>
      <c r="D127" s="689">
        <v>360.33</v>
      </c>
      <c r="E127" s="685">
        <f t="shared" si="22"/>
        <v>360.33</v>
      </c>
      <c r="F127" s="686">
        <f t="shared" si="23"/>
        <v>720.66</v>
      </c>
    </row>
    <row r="128" spans="1:6" s="57" customFormat="1" outlineLevel="2" x14ac:dyDescent="0.25">
      <c r="A128" s="696" t="s">
        <v>1085</v>
      </c>
      <c r="B128" s="688" t="s">
        <v>5</v>
      </c>
      <c r="C128" s="688">
        <v>2</v>
      </c>
      <c r="D128" s="689">
        <v>30.64</v>
      </c>
      <c r="E128" s="685">
        <f t="shared" si="22"/>
        <v>30.64</v>
      </c>
      <c r="F128" s="686">
        <f t="shared" si="23"/>
        <v>61.28</v>
      </c>
    </row>
    <row r="129" spans="1:6" s="57" customFormat="1" outlineLevel="2" x14ac:dyDescent="0.25">
      <c r="A129" s="696" t="s">
        <v>1088</v>
      </c>
      <c r="B129" s="688" t="s">
        <v>5</v>
      </c>
      <c r="C129" s="688">
        <v>2</v>
      </c>
      <c r="D129" s="689">
        <v>54.93</v>
      </c>
      <c r="E129" s="685">
        <f t="shared" si="22"/>
        <v>54.93</v>
      </c>
      <c r="F129" s="686">
        <f t="shared" si="23"/>
        <v>109.86</v>
      </c>
    </row>
    <row r="130" spans="1:6" s="57" customFormat="1" ht="31.5" outlineLevel="2" x14ac:dyDescent="0.25">
      <c r="A130" s="687" t="s">
        <v>1086</v>
      </c>
      <c r="B130" s="688" t="s">
        <v>5</v>
      </c>
      <c r="C130" s="688">
        <v>2</v>
      </c>
      <c r="D130" s="689">
        <v>50.83</v>
      </c>
      <c r="E130" s="685">
        <f t="shared" si="22"/>
        <v>50.83</v>
      </c>
      <c r="F130" s="686">
        <f t="shared" si="23"/>
        <v>101.66</v>
      </c>
    </row>
    <row r="131" spans="1:6" s="57" customFormat="1" ht="31.5" outlineLevel="2" x14ac:dyDescent="0.25">
      <c r="A131" s="687" t="s">
        <v>1087</v>
      </c>
      <c r="B131" s="688" t="s">
        <v>5</v>
      </c>
      <c r="C131" s="688">
        <v>2</v>
      </c>
      <c r="D131" s="689">
        <v>45.3</v>
      </c>
      <c r="E131" s="685">
        <f t="shared" si="22"/>
        <v>45.3</v>
      </c>
      <c r="F131" s="686">
        <f t="shared" si="23"/>
        <v>90.6</v>
      </c>
    </row>
    <row r="132" spans="1:6" s="57" customFormat="1" ht="9.75" customHeight="1" outlineLevel="1" x14ac:dyDescent="0.25">
      <c r="A132" s="1034"/>
      <c r="B132" s="753"/>
      <c r="C132" s="1035"/>
      <c r="D132" s="690"/>
      <c r="E132" s="691"/>
      <c r="F132" s="692">
        <f>SUM(F126:F131)</f>
        <v>1410.9399999999998</v>
      </c>
    </row>
    <row r="133" spans="1:6" s="57" customFormat="1" outlineLevel="1" x14ac:dyDescent="0.25">
      <c r="A133" s="1031" t="s">
        <v>110</v>
      </c>
      <c r="B133" s="1032"/>
      <c r="C133" s="1033"/>
      <c r="D133" s="689"/>
      <c r="E133" s="685"/>
      <c r="F133" s="686"/>
    </row>
    <row r="134" spans="1:6" s="57" customFormat="1" ht="47.25" outlineLevel="2" x14ac:dyDescent="0.25">
      <c r="A134" s="696" t="s">
        <v>5451</v>
      </c>
      <c r="B134" s="688" t="s">
        <v>5</v>
      </c>
      <c r="C134" s="688">
        <v>4</v>
      </c>
      <c r="D134" s="689">
        <v>660.88</v>
      </c>
      <c r="E134" s="685">
        <f t="shared" ref="E134:E142" si="24">D134*(1+$C$1)</f>
        <v>660.88</v>
      </c>
      <c r="F134" s="686">
        <f t="shared" ref="F134:F142" si="25">TRUNC((E134*C134),2)</f>
        <v>2643.52</v>
      </c>
    </row>
    <row r="135" spans="1:6" s="57" customFormat="1" ht="31.5" outlineLevel="2" x14ac:dyDescent="0.25">
      <c r="A135" s="696" t="s">
        <v>5452</v>
      </c>
      <c r="B135" s="688" t="s">
        <v>5</v>
      </c>
      <c r="C135" s="688">
        <v>4</v>
      </c>
      <c r="D135" s="689">
        <v>550.87</v>
      </c>
      <c r="E135" s="685">
        <f t="shared" si="24"/>
        <v>550.87</v>
      </c>
      <c r="F135" s="686">
        <f t="shared" si="25"/>
        <v>2203.48</v>
      </c>
    </row>
    <row r="136" spans="1:6" s="57" customFormat="1" ht="47.25" outlineLevel="2" x14ac:dyDescent="0.25">
      <c r="A136" s="696" t="s">
        <v>5453</v>
      </c>
      <c r="B136" s="688" t="s">
        <v>5</v>
      </c>
      <c r="C136" s="688">
        <v>4</v>
      </c>
      <c r="D136" s="689">
        <v>625.66999999999996</v>
      </c>
      <c r="E136" s="685">
        <f t="shared" si="24"/>
        <v>625.66999999999996</v>
      </c>
      <c r="F136" s="686">
        <f t="shared" si="25"/>
        <v>2502.6799999999998</v>
      </c>
    </row>
    <row r="137" spans="1:6" s="57" customFormat="1" ht="31.5" outlineLevel="2" x14ac:dyDescent="0.25">
      <c r="A137" s="696" t="s">
        <v>5454</v>
      </c>
      <c r="B137" s="688" t="s">
        <v>5</v>
      </c>
      <c r="C137" s="688">
        <v>4</v>
      </c>
      <c r="D137" s="689">
        <v>564.25</v>
      </c>
      <c r="E137" s="685">
        <f t="shared" si="24"/>
        <v>564.25</v>
      </c>
      <c r="F137" s="686">
        <f t="shared" si="25"/>
        <v>2257</v>
      </c>
    </row>
    <row r="138" spans="1:6" s="57" customFormat="1" outlineLevel="2" x14ac:dyDescent="0.25">
      <c r="A138" s="696" t="s">
        <v>5455</v>
      </c>
      <c r="B138" s="688" t="s">
        <v>5</v>
      </c>
      <c r="C138" s="688">
        <v>4</v>
      </c>
      <c r="D138" s="689">
        <v>67.010000000000005</v>
      </c>
      <c r="E138" s="685">
        <f t="shared" si="24"/>
        <v>67.010000000000005</v>
      </c>
      <c r="F138" s="686">
        <f t="shared" si="25"/>
        <v>268.04000000000002</v>
      </c>
    </row>
    <row r="139" spans="1:6" s="57" customFormat="1" outlineLevel="2" x14ac:dyDescent="0.25">
      <c r="A139" s="687" t="s">
        <v>1085</v>
      </c>
      <c r="B139" s="688" t="s">
        <v>5</v>
      </c>
      <c r="C139" s="688">
        <v>4</v>
      </c>
      <c r="D139" s="689">
        <v>30.64</v>
      </c>
      <c r="E139" s="685">
        <f t="shared" si="24"/>
        <v>30.64</v>
      </c>
      <c r="F139" s="686">
        <f t="shared" si="25"/>
        <v>122.56</v>
      </c>
    </row>
    <row r="140" spans="1:6" s="57" customFormat="1" ht="31.5" outlineLevel="2" x14ac:dyDescent="0.25">
      <c r="A140" s="687" t="s">
        <v>1086</v>
      </c>
      <c r="B140" s="688" t="s">
        <v>5</v>
      </c>
      <c r="C140" s="688">
        <v>4</v>
      </c>
      <c r="D140" s="689">
        <v>50.83</v>
      </c>
      <c r="E140" s="685">
        <f t="shared" si="24"/>
        <v>50.83</v>
      </c>
      <c r="F140" s="686">
        <f t="shared" si="25"/>
        <v>203.32</v>
      </c>
    </row>
    <row r="141" spans="1:6" s="57" customFormat="1" outlineLevel="2" x14ac:dyDescent="0.25">
      <c r="A141" s="696" t="s">
        <v>1088</v>
      </c>
      <c r="B141" s="688" t="s">
        <v>5</v>
      </c>
      <c r="C141" s="688">
        <v>2</v>
      </c>
      <c r="D141" s="689">
        <v>54.93</v>
      </c>
      <c r="E141" s="685">
        <f t="shared" si="24"/>
        <v>54.93</v>
      </c>
      <c r="F141" s="686">
        <f t="shared" si="25"/>
        <v>109.86</v>
      </c>
    </row>
    <row r="142" spans="1:6" s="57" customFormat="1" ht="31.5" outlineLevel="2" x14ac:dyDescent="0.25">
      <c r="A142" s="687" t="s">
        <v>1087</v>
      </c>
      <c r="B142" s="688" t="s">
        <v>5</v>
      </c>
      <c r="C142" s="688">
        <v>4</v>
      </c>
      <c r="D142" s="689">
        <v>45.3</v>
      </c>
      <c r="E142" s="685">
        <f t="shared" si="24"/>
        <v>45.3</v>
      </c>
      <c r="F142" s="686">
        <f t="shared" si="25"/>
        <v>181.2</v>
      </c>
    </row>
    <row r="143" spans="1:6" s="57" customFormat="1" ht="31.5" outlineLevel="2" x14ac:dyDescent="0.25">
      <c r="A143" s="696" t="s">
        <v>5456</v>
      </c>
      <c r="B143" s="688" t="s">
        <v>5</v>
      </c>
      <c r="C143" s="688">
        <v>2</v>
      </c>
      <c r="D143" s="689">
        <v>228.66</v>
      </c>
      <c r="E143" s="685">
        <f>D143*(1+$C$1)</f>
        <v>228.66</v>
      </c>
      <c r="F143" s="686">
        <f>TRUNC((E143*C143),2)</f>
        <v>457.32</v>
      </c>
    </row>
    <row r="144" spans="1:6" s="57" customFormat="1" ht="3.75" customHeight="1" outlineLevel="1" x14ac:dyDescent="0.25">
      <c r="A144" s="1034"/>
      <c r="B144" s="753"/>
      <c r="C144" s="1035"/>
      <c r="D144" s="690"/>
      <c r="E144" s="691"/>
      <c r="F144" s="692">
        <f>SUM(F134:F143)</f>
        <v>10948.980000000001</v>
      </c>
    </row>
    <row r="145" spans="1:6" s="57" customFormat="1" outlineLevel="1" x14ac:dyDescent="0.25">
      <c r="A145" s="1031" t="s">
        <v>108</v>
      </c>
      <c r="B145" s="1032"/>
      <c r="C145" s="1033"/>
      <c r="D145" s="690"/>
      <c r="E145" s="691"/>
      <c r="F145" s="704"/>
    </row>
    <row r="146" spans="1:6" s="57" customFormat="1" ht="31.5" outlineLevel="2" x14ac:dyDescent="0.25">
      <c r="A146" s="696" t="s">
        <v>5457</v>
      </c>
      <c r="B146" s="694" t="s">
        <v>5</v>
      </c>
      <c r="C146" s="695">
        <v>2</v>
      </c>
      <c r="D146" s="685">
        <v>142.04</v>
      </c>
      <c r="E146" s="685">
        <f t="shared" ref="E146:E173" si="26">D146*(1+$C$1)</f>
        <v>142.04</v>
      </c>
      <c r="F146" s="686">
        <f t="shared" ref="F146:F173" si="27">TRUNC((E146*C146),2)</f>
        <v>284.08</v>
      </c>
    </row>
    <row r="147" spans="1:6" s="57" customFormat="1" ht="63" outlineLevel="2" x14ac:dyDescent="0.25">
      <c r="A147" s="696" t="s">
        <v>5458</v>
      </c>
      <c r="B147" s="694" t="s">
        <v>5</v>
      </c>
      <c r="C147" s="695">
        <v>9</v>
      </c>
      <c r="D147" s="685">
        <v>126.95</v>
      </c>
      <c r="E147" s="685">
        <f t="shared" si="26"/>
        <v>126.95</v>
      </c>
      <c r="F147" s="686">
        <f t="shared" si="27"/>
        <v>1142.55</v>
      </c>
    </row>
    <row r="148" spans="1:6" s="57" customFormat="1" outlineLevel="2" x14ac:dyDescent="0.25">
      <c r="A148" s="696" t="s">
        <v>5459</v>
      </c>
      <c r="B148" s="694" t="s">
        <v>5</v>
      </c>
      <c r="C148" s="695">
        <v>6</v>
      </c>
      <c r="D148" s="685">
        <v>320.35000000000002</v>
      </c>
      <c r="E148" s="685">
        <f t="shared" si="26"/>
        <v>320.35000000000002</v>
      </c>
      <c r="F148" s="686">
        <f t="shared" si="27"/>
        <v>1922.1</v>
      </c>
    </row>
    <row r="149" spans="1:6" s="57" customFormat="1" outlineLevel="2" x14ac:dyDescent="0.25">
      <c r="A149" s="696" t="s">
        <v>5460</v>
      </c>
      <c r="B149" s="694" t="s">
        <v>5</v>
      </c>
      <c r="C149" s="695">
        <f>6+7</f>
        <v>13</v>
      </c>
      <c r="D149" s="685">
        <v>16.47</v>
      </c>
      <c r="E149" s="685">
        <f t="shared" si="26"/>
        <v>16.47</v>
      </c>
      <c r="F149" s="686">
        <f t="shared" si="27"/>
        <v>214.11</v>
      </c>
    </row>
    <row r="150" spans="1:6" s="57" customFormat="1" outlineLevel="2" x14ac:dyDescent="0.25">
      <c r="A150" s="696" t="s">
        <v>5461</v>
      </c>
      <c r="B150" s="694" t="s">
        <v>5</v>
      </c>
      <c r="C150" s="695">
        <v>16</v>
      </c>
      <c r="D150" s="685">
        <v>28.75</v>
      </c>
      <c r="E150" s="685">
        <f t="shared" si="26"/>
        <v>28.75</v>
      </c>
      <c r="F150" s="686">
        <f t="shared" si="27"/>
        <v>460</v>
      </c>
    </row>
    <row r="151" spans="1:6" s="57" customFormat="1" outlineLevel="2" x14ac:dyDescent="0.25">
      <c r="A151" s="696" t="s">
        <v>5462</v>
      </c>
      <c r="B151" s="694" t="s">
        <v>5</v>
      </c>
      <c r="C151" s="695">
        <v>18</v>
      </c>
      <c r="D151" s="685">
        <v>17.690000000000001</v>
      </c>
      <c r="E151" s="685">
        <f t="shared" si="26"/>
        <v>17.690000000000001</v>
      </c>
      <c r="F151" s="686">
        <f t="shared" si="27"/>
        <v>318.42</v>
      </c>
    </row>
    <row r="152" spans="1:6" s="57" customFormat="1" outlineLevel="2" x14ac:dyDescent="0.25">
      <c r="A152" s="696" t="s">
        <v>5463</v>
      </c>
      <c r="B152" s="694" t="s">
        <v>5</v>
      </c>
      <c r="C152" s="695">
        <v>31</v>
      </c>
      <c r="D152" s="685">
        <v>5.54</v>
      </c>
      <c r="E152" s="685">
        <f t="shared" si="26"/>
        <v>5.54</v>
      </c>
      <c r="F152" s="686">
        <f t="shared" si="27"/>
        <v>171.74</v>
      </c>
    </row>
    <row r="153" spans="1:6" s="57" customFormat="1" outlineLevel="2" x14ac:dyDescent="0.25">
      <c r="A153" s="696" t="s">
        <v>5464</v>
      </c>
      <c r="B153" s="694" t="s">
        <v>5</v>
      </c>
      <c r="C153" s="695">
        <v>6</v>
      </c>
      <c r="D153" s="685">
        <v>14.59</v>
      </c>
      <c r="E153" s="685">
        <f t="shared" si="26"/>
        <v>14.59</v>
      </c>
      <c r="F153" s="686">
        <f t="shared" si="27"/>
        <v>87.54</v>
      </c>
    </row>
    <row r="154" spans="1:6" s="57" customFormat="1" outlineLevel="2" x14ac:dyDescent="0.25">
      <c r="A154" s="696" t="s">
        <v>5465</v>
      </c>
      <c r="B154" s="694" t="s">
        <v>5</v>
      </c>
      <c r="C154" s="695">
        <v>3</v>
      </c>
      <c r="D154" s="685">
        <v>6.55</v>
      </c>
      <c r="E154" s="685">
        <f t="shared" si="26"/>
        <v>6.55</v>
      </c>
      <c r="F154" s="686">
        <f t="shared" si="27"/>
        <v>19.649999999999999</v>
      </c>
    </row>
    <row r="155" spans="1:6" s="57" customFormat="1" ht="31.5" outlineLevel="2" x14ac:dyDescent="0.25">
      <c r="A155" s="696" t="s">
        <v>5466</v>
      </c>
      <c r="B155" s="694" t="s">
        <v>5</v>
      </c>
      <c r="C155" s="695">
        <f>17+6</f>
        <v>23</v>
      </c>
      <c r="D155" s="685">
        <v>27.79</v>
      </c>
      <c r="E155" s="685">
        <f t="shared" si="26"/>
        <v>27.79</v>
      </c>
      <c r="F155" s="686">
        <f t="shared" si="27"/>
        <v>639.16999999999996</v>
      </c>
    </row>
    <row r="156" spans="1:6" s="57" customFormat="1" ht="31.5" outlineLevel="2" x14ac:dyDescent="0.25">
      <c r="A156" s="696" t="s">
        <v>5467</v>
      </c>
      <c r="B156" s="694" t="s">
        <v>5</v>
      </c>
      <c r="C156" s="695">
        <v>26</v>
      </c>
      <c r="D156" s="685">
        <v>7.75</v>
      </c>
      <c r="E156" s="685">
        <f t="shared" si="26"/>
        <v>7.75</v>
      </c>
      <c r="F156" s="686">
        <f t="shared" si="27"/>
        <v>201.5</v>
      </c>
    </row>
    <row r="157" spans="1:6" s="57" customFormat="1" outlineLevel="2" x14ac:dyDescent="0.25">
      <c r="A157" s="696" t="s">
        <v>5468</v>
      </c>
      <c r="B157" s="694" t="s">
        <v>5</v>
      </c>
      <c r="C157" s="695">
        <v>27</v>
      </c>
      <c r="D157" s="685">
        <v>7.75</v>
      </c>
      <c r="E157" s="685">
        <f t="shared" si="26"/>
        <v>7.75</v>
      </c>
      <c r="F157" s="686">
        <f t="shared" si="27"/>
        <v>209.25</v>
      </c>
    </row>
    <row r="158" spans="1:6" s="57" customFormat="1" outlineLevel="2" x14ac:dyDescent="0.25">
      <c r="A158" s="696" t="s">
        <v>5469</v>
      </c>
      <c r="B158" s="694" t="s">
        <v>5</v>
      </c>
      <c r="C158" s="695">
        <v>6</v>
      </c>
      <c r="D158" s="685">
        <v>10.14</v>
      </c>
      <c r="E158" s="685">
        <f t="shared" si="26"/>
        <v>10.14</v>
      </c>
      <c r="F158" s="686">
        <f t="shared" si="27"/>
        <v>60.84</v>
      </c>
    </row>
    <row r="159" spans="1:6" s="57" customFormat="1" outlineLevel="2" x14ac:dyDescent="0.25">
      <c r="A159" s="696" t="s">
        <v>5470</v>
      </c>
      <c r="B159" s="694" t="s">
        <v>5</v>
      </c>
      <c r="C159" s="695">
        <v>17</v>
      </c>
      <c r="D159" s="685">
        <v>17.62</v>
      </c>
      <c r="E159" s="685">
        <f t="shared" si="26"/>
        <v>17.62</v>
      </c>
      <c r="F159" s="686">
        <f t="shared" si="27"/>
        <v>299.54000000000002</v>
      </c>
    </row>
    <row r="160" spans="1:6" s="57" customFormat="1" outlineLevel="2" x14ac:dyDescent="0.25">
      <c r="A160" s="696" t="s">
        <v>5471</v>
      </c>
      <c r="B160" s="694" t="s">
        <v>5</v>
      </c>
      <c r="C160" s="695">
        <v>26</v>
      </c>
      <c r="D160" s="685">
        <v>5.63</v>
      </c>
      <c r="E160" s="685">
        <f t="shared" si="26"/>
        <v>5.63</v>
      </c>
      <c r="F160" s="686">
        <f t="shared" si="27"/>
        <v>146.38</v>
      </c>
    </row>
    <row r="161" spans="1:6" s="57" customFormat="1" ht="31.5" outlineLevel="2" x14ac:dyDescent="0.25">
      <c r="A161" s="696" t="s">
        <v>5472</v>
      </c>
      <c r="B161" s="694" t="s">
        <v>5</v>
      </c>
      <c r="C161" s="695">
        <f>16+8</f>
        <v>24</v>
      </c>
      <c r="D161" s="685">
        <v>22.22</v>
      </c>
      <c r="E161" s="685">
        <f t="shared" si="26"/>
        <v>22.22</v>
      </c>
      <c r="F161" s="686">
        <f t="shared" si="27"/>
        <v>533.28</v>
      </c>
    </row>
    <row r="162" spans="1:6" s="57" customFormat="1" outlineLevel="2" x14ac:dyDescent="0.25">
      <c r="A162" s="696" t="s">
        <v>5473</v>
      </c>
      <c r="B162" s="694" t="s">
        <v>5</v>
      </c>
      <c r="C162" s="695">
        <v>4</v>
      </c>
      <c r="D162" s="685">
        <v>42.34</v>
      </c>
      <c r="E162" s="685">
        <f t="shared" si="26"/>
        <v>42.34</v>
      </c>
      <c r="F162" s="686">
        <f t="shared" si="27"/>
        <v>169.36</v>
      </c>
    </row>
    <row r="163" spans="1:6" s="57" customFormat="1" ht="31.5" outlineLevel="2" x14ac:dyDescent="0.25">
      <c r="A163" s="696" t="s">
        <v>5474</v>
      </c>
      <c r="B163" s="694" t="s">
        <v>5</v>
      </c>
      <c r="C163" s="695">
        <v>15</v>
      </c>
      <c r="D163" s="685">
        <v>35.04</v>
      </c>
      <c r="E163" s="685">
        <f t="shared" si="26"/>
        <v>35.04</v>
      </c>
      <c r="F163" s="686">
        <f t="shared" si="27"/>
        <v>525.6</v>
      </c>
    </row>
    <row r="164" spans="1:6" s="57" customFormat="1" ht="31.5" outlineLevel="2" x14ac:dyDescent="0.25">
      <c r="A164" s="687" t="s">
        <v>5475</v>
      </c>
      <c r="B164" s="694" t="s">
        <v>5</v>
      </c>
      <c r="C164" s="695">
        <v>7</v>
      </c>
      <c r="D164" s="685">
        <v>15.43</v>
      </c>
      <c r="E164" s="685">
        <f t="shared" si="26"/>
        <v>15.43</v>
      </c>
      <c r="F164" s="686">
        <f t="shared" si="27"/>
        <v>108.01</v>
      </c>
    </row>
    <row r="165" spans="1:6" s="57" customFormat="1" ht="31.5" outlineLevel="2" x14ac:dyDescent="0.25">
      <c r="A165" s="687" t="s">
        <v>5476</v>
      </c>
      <c r="B165" s="694" t="s">
        <v>5</v>
      </c>
      <c r="C165" s="695">
        <v>1</v>
      </c>
      <c r="D165" s="685">
        <v>21.94</v>
      </c>
      <c r="E165" s="685">
        <f t="shared" si="26"/>
        <v>21.94</v>
      </c>
      <c r="F165" s="686">
        <f t="shared" si="27"/>
        <v>21.94</v>
      </c>
    </row>
    <row r="166" spans="1:6" s="57" customFormat="1" outlineLevel="2" x14ac:dyDescent="0.25">
      <c r="A166" s="687" t="s">
        <v>5477</v>
      </c>
      <c r="B166" s="694" t="s">
        <v>5</v>
      </c>
      <c r="C166" s="695">
        <v>6</v>
      </c>
      <c r="D166" s="685">
        <v>6.83</v>
      </c>
      <c r="E166" s="685">
        <f t="shared" si="26"/>
        <v>6.83</v>
      </c>
      <c r="F166" s="686">
        <f t="shared" si="27"/>
        <v>40.98</v>
      </c>
    </row>
    <row r="167" spans="1:6" s="57" customFormat="1" outlineLevel="2" x14ac:dyDescent="0.25">
      <c r="A167" s="687" t="s">
        <v>5478</v>
      </c>
      <c r="B167" s="694" t="s">
        <v>5</v>
      </c>
      <c r="C167" s="695">
        <v>6</v>
      </c>
      <c r="D167" s="685">
        <v>9.11</v>
      </c>
      <c r="E167" s="685">
        <f t="shared" si="26"/>
        <v>9.11</v>
      </c>
      <c r="F167" s="686">
        <f t="shared" si="27"/>
        <v>54.66</v>
      </c>
    </row>
    <row r="168" spans="1:6" s="57" customFormat="1" outlineLevel="2" x14ac:dyDescent="0.25">
      <c r="A168" s="687" t="s">
        <v>5479</v>
      </c>
      <c r="B168" s="694" t="s">
        <v>75</v>
      </c>
      <c r="C168" s="695">
        <f>114.06+112.52+24.52</f>
        <v>251.1</v>
      </c>
      <c r="D168" s="685">
        <v>36.479999999999997</v>
      </c>
      <c r="E168" s="685">
        <f t="shared" si="26"/>
        <v>36.479999999999997</v>
      </c>
      <c r="F168" s="686">
        <f t="shared" si="27"/>
        <v>9160.1200000000008</v>
      </c>
    </row>
    <row r="169" spans="1:6" s="57" customFormat="1" outlineLevel="2" x14ac:dyDescent="0.25">
      <c r="A169" s="687" t="s">
        <v>5480</v>
      </c>
      <c r="B169" s="694" t="s">
        <v>75</v>
      </c>
      <c r="C169" s="695">
        <f>62.08+3.6+17.55</f>
        <v>83.22999999999999</v>
      </c>
      <c r="D169" s="685">
        <v>19.03</v>
      </c>
      <c r="E169" s="685">
        <f t="shared" si="26"/>
        <v>19.03</v>
      </c>
      <c r="F169" s="686">
        <f t="shared" si="27"/>
        <v>1583.86</v>
      </c>
    </row>
    <row r="170" spans="1:6" s="57" customFormat="1" outlineLevel="2" x14ac:dyDescent="0.25">
      <c r="A170" s="687" t="s">
        <v>5481</v>
      </c>
      <c r="B170" s="694" t="s">
        <v>75</v>
      </c>
      <c r="C170" s="695">
        <f>21.51+3.6</f>
        <v>25.110000000000003</v>
      </c>
      <c r="D170" s="685">
        <v>28.32</v>
      </c>
      <c r="E170" s="685">
        <f t="shared" si="26"/>
        <v>28.32</v>
      </c>
      <c r="F170" s="686">
        <f t="shared" si="27"/>
        <v>711.11</v>
      </c>
    </row>
    <row r="171" spans="1:6" s="57" customFormat="1" outlineLevel="2" x14ac:dyDescent="0.25">
      <c r="A171" s="687" t="s">
        <v>5482</v>
      </c>
      <c r="B171" s="694" t="s">
        <v>75</v>
      </c>
      <c r="C171" s="695">
        <v>10.5</v>
      </c>
      <c r="D171" s="685">
        <v>34.47</v>
      </c>
      <c r="E171" s="685">
        <f t="shared" si="26"/>
        <v>34.47</v>
      </c>
      <c r="F171" s="686">
        <f t="shared" si="27"/>
        <v>361.93</v>
      </c>
    </row>
    <row r="172" spans="1:6" s="57" customFormat="1" outlineLevel="2" x14ac:dyDescent="0.25">
      <c r="A172" s="696" t="s">
        <v>5483</v>
      </c>
      <c r="B172" s="694" t="s">
        <v>75</v>
      </c>
      <c r="C172" s="695">
        <f>7.17+12+2.7+3.6</f>
        <v>25.470000000000002</v>
      </c>
      <c r="D172" s="685">
        <v>12.96</v>
      </c>
      <c r="E172" s="685">
        <f t="shared" si="26"/>
        <v>12.96</v>
      </c>
      <c r="F172" s="686">
        <f t="shared" si="27"/>
        <v>330.09</v>
      </c>
    </row>
    <row r="173" spans="1:6" s="57" customFormat="1" outlineLevel="2" x14ac:dyDescent="0.25">
      <c r="A173" s="687" t="s">
        <v>5484</v>
      </c>
      <c r="B173" s="694" t="s">
        <v>5</v>
      </c>
      <c r="C173" s="695">
        <v>10</v>
      </c>
      <c r="D173" s="685">
        <v>22.78</v>
      </c>
      <c r="E173" s="685">
        <f t="shared" si="26"/>
        <v>22.78</v>
      </c>
      <c r="F173" s="686">
        <f t="shared" si="27"/>
        <v>227.8</v>
      </c>
    </row>
    <row r="174" spans="1:6" s="57" customFormat="1" ht="9.75" customHeight="1" outlineLevel="1" x14ac:dyDescent="0.25">
      <c r="A174" s="1034"/>
      <c r="B174" s="753"/>
      <c r="C174" s="1035"/>
      <c r="D174" s="690"/>
      <c r="E174" s="691"/>
      <c r="F174" s="692">
        <f>SUM(F146:F173)</f>
        <v>20005.61</v>
      </c>
    </row>
    <row r="175" spans="1:6" s="57" customFormat="1" outlineLevel="1" x14ac:dyDescent="0.25">
      <c r="A175" s="1031" t="s">
        <v>109</v>
      </c>
      <c r="B175" s="1032"/>
      <c r="C175" s="1033"/>
      <c r="D175" s="690"/>
      <c r="E175" s="685"/>
      <c r="F175" s="686"/>
    </row>
    <row r="176" spans="1:6" s="57" customFormat="1" ht="31.5" outlineLevel="2" x14ac:dyDescent="0.25">
      <c r="A176" s="696" t="s">
        <v>5485</v>
      </c>
      <c r="B176" s="694" t="s">
        <v>5</v>
      </c>
      <c r="C176" s="695">
        <v>2</v>
      </c>
      <c r="D176" s="685">
        <v>10.72</v>
      </c>
      <c r="E176" s="685">
        <f t="shared" ref="E176:E181" si="28">D176*(1+$C$1)</f>
        <v>10.72</v>
      </c>
      <c r="F176" s="686">
        <f t="shared" ref="F176:F181" si="29">TRUNC((E176*C176),2)</f>
        <v>21.44</v>
      </c>
    </row>
    <row r="177" spans="1:6" s="57" customFormat="1" ht="31.5" outlineLevel="2" x14ac:dyDescent="0.25">
      <c r="A177" s="687" t="s">
        <v>5475</v>
      </c>
      <c r="B177" s="694" t="s">
        <v>5</v>
      </c>
      <c r="C177" s="695">
        <v>2</v>
      </c>
      <c r="D177" s="685">
        <v>15.43</v>
      </c>
      <c r="E177" s="685">
        <f t="shared" si="28"/>
        <v>15.43</v>
      </c>
      <c r="F177" s="686">
        <f t="shared" si="29"/>
        <v>30.86</v>
      </c>
    </row>
    <row r="178" spans="1:6" s="57" customFormat="1" outlineLevel="2" x14ac:dyDescent="0.25">
      <c r="A178" s="696" t="s">
        <v>5486</v>
      </c>
      <c r="B178" s="694" t="s">
        <v>5</v>
      </c>
      <c r="C178" s="695">
        <v>24</v>
      </c>
      <c r="D178" s="685">
        <v>7.75</v>
      </c>
      <c r="E178" s="685">
        <f t="shared" si="28"/>
        <v>7.75</v>
      </c>
      <c r="F178" s="686">
        <f t="shared" si="29"/>
        <v>186</v>
      </c>
    </row>
    <row r="179" spans="1:6" s="57" customFormat="1" ht="31.5" outlineLevel="2" x14ac:dyDescent="0.25">
      <c r="A179" s="696" t="s">
        <v>5487</v>
      </c>
      <c r="B179" s="694" t="s">
        <v>5</v>
      </c>
      <c r="C179" s="695">
        <v>10</v>
      </c>
      <c r="D179" s="685">
        <v>8.5399999999999991</v>
      </c>
      <c r="E179" s="685">
        <f t="shared" si="28"/>
        <v>8.5399999999999991</v>
      </c>
      <c r="F179" s="686">
        <f t="shared" si="29"/>
        <v>85.4</v>
      </c>
    </row>
    <row r="180" spans="1:6" s="57" customFormat="1" outlineLevel="2" x14ac:dyDescent="0.25">
      <c r="A180" s="687" t="s">
        <v>5480</v>
      </c>
      <c r="B180" s="694" t="s">
        <v>75</v>
      </c>
      <c r="C180" s="695">
        <f>40.56+34.93</f>
        <v>75.490000000000009</v>
      </c>
      <c r="D180" s="685">
        <v>7.63</v>
      </c>
      <c r="E180" s="685">
        <f t="shared" si="28"/>
        <v>7.63</v>
      </c>
      <c r="F180" s="686">
        <f t="shared" si="29"/>
        <v>575.98</v>
      </c>
    </row>
    <row r="181" spans="1:6" s="57" customFormat="1" outlineLevel="2" x14ac:dyDescent="0.25">
      <c r="A181" s="696" t="s">
        <v>5488</v>
      </c>
      <c r="B181" s="694" t="s">
        <v>5</v>
      </c>
      <c r="C181" s="695">
        <f>9+12</f>
        <v>21</v>
      </c>
      <c r="D181" s="685">
        <v>10.93</v>
      </c>
      <c r="E181" s="685">
        <f t="shared" si="28"/>
        <v>10.93</v>
      </c>
      <c r="F181" s="686">
        <f t="shared" si="29"/>
        <v>229.53</v>
      </c>
    </row>
    <row r="182" spans="1:6" s="57" customFormat="1" ht="7.5" customHeight="1" outlineLevel="1" x14ac:dyDescent="0.25">
      <c r="A182" s="1034"/>
      <c r="B182" s="753"/>
      <c r="C182" s="1035"/>
      <c r="D182" s="690"/>
      <c r="E182" s="691"/>
      <c r="F182" s="692">
        <f>SUM(F176:F181)</f>
        <v>1129.21</v>
      </c>
    </row>
    <row r="183" spans="1:6" s="57" customFormat="1" outlineLevel="1" x14ac:dyDescent="0.25">
      <c r="A183" s="1031" t="s">
        <v>5489</v>
      </c>
      <c r="B183" s="1032"/>
      <c r="C183" s="1033"/>
      <c r="D183" s="690"/>
      <c r="E183" s="685"/>
      <c r="F183" s="686"/>
    </row>
    <row r="184" spans="1:6" s="57" customFormat="1" ht="31.5" outlineLevel="2" x14ac:dyDescent="0.25">
      <c r="A184" s="687" t="s">
        <v>5490</v>
      </c>
      <c r="B184" s="694" t="s">
        <v>5</v>
      </c>
      <c r="C184" s="695">
        <v>1</v>
      </c>
      <c r="D184" s="685">
        <v>8986.16</v>
      </c>
      <c r="E184" s="685">
        <f t="shared" ref="E184:E188" si="30">D184*(1+$C$1)</f>
        <v>8986.16</v>
      </c>
      <c r="F184" s="686">
        <f t="shared" ref="F184:F188" si="31">TRUNC((E184*C184),2)</f>
        <v>8986.16</v>
      </c>
    </row>
    <row r="185" spans="1:6" s="57" customFormat="1" ht="31.5" outlineLevel="2" x14ac:dyDescent="0.25">
      <c r="A185" s="687" t="s">
        <v>5491</v>
      </c>
      <c r="B185" s="694" t="s">
        <v>5</v>
      </c>
      <c r="C185" s="695">
        <v>1</v>
      </c>
      <c r="D185" s="685">
        <v>13584.4</v>
      </c>
      <c r="E185" s="685">
        <f t="shared" si="30"/>
        <v>13584.4</v>
      </c>
      <c r="F185" s="686">
        <f t="shared" si="31"/>
        <v>13584.4</v>
      </c>
    </row>
    <row r="186" spans="1:6" s="57" customFormat="1" outlineLevel="2" x14ac:dyDescent="0.25">
      <c r="A186" s="687" t="s">
        <v>5492</v>
      </c>
      <c r="B186" s="694" t="s">
        <v>5</v>
      </c>
      <c r="C186" s="695">
        <v>2</v>
      </c>
      <c r="D186" s="685"/>
      <c r="E186" s="685"/>
      <c r="F186" s="686"/>
    </row>
    <row r="187" spans="1:6" s="57" customFormat="1" ht="69.75" customHeight="1" outlineLevel="2" x14ac:dyDescent="0.25">
      <c r="A187" s="687" t="s">
        <v>5493</v>
      </c>
      <c r="B187" s="694" t="s">
        <v>5</v>
      </c>
      <c r="C187" s="695">
        <v>1</v>
      </c>
      <c r="D187" s="685">
        <v>7672.66</v>
      </c>
      <c r="E187" s="685">
        <f t="shared" si="30"/>
        <v>7672.66</v>
      </c>
      <c r="F187" s="686">
        <f t="shared" si="31"/>
        <v>7672.66</v>
      </c>
    </row>
    <row r="188" spans="1:6" s="57" customFormat="1" ht="63" outlineLevel="2" x14ac:dyDescent="0.25">
      <c r="A188" s="687" t="s">
        <v>5494</v>
      </c>
      <c r="B188" s="694" t="s">
        <v>5</v>
      </c>
      <c r="C188" s="695">
        <v>2</v>
      </c>
      <c r="D188" s="685">
        <v>3946.26</v>
      </c>
      <c r="E188" s="685">
        <f t="shared" si="30"/>
        <v>3946.26</v>
      </c>
      <c r="F188" s="686">
        <f t="shared" si="31"/>
        <v>7892.52</v>
      </c>
    </row>
    <row r="189" spans="1:6" s="57" customFormat="1" ht="9" customHeight="1" outlineLevel="1" x14ac:dyDescent="0.25">
      <c r="A189" s="1034"/>
      <c r="B189" s="753"/>
      <c r="C189" s="1035"/>
      <c r="D189" s="690"/>
      <c r="E189" s="691"/>
      <c r="F189" s="692">
        <f>SUM(F184:F188)</f>
        <v>38135.74</v>
      </c>
    </row>
    <row r="190" spans="1:6" s="57" customFormat="1" ht="31.5" customHeight="1" outlineLevel="1" x14ac:dyDescent="0.25">
      <c r="A190" s="1031" t="s">
        <v>5495</v>
      </c>
      <c r="B190" s="1032"/>
      <c r="C190" s="1033"/>
      <c r="D190" s="690"/>
      <c r="E190" s="685"/>
      <c r="F190" s="686"/>
    </row>
    <row r="191" spans="1:6" s="57" customFormat="1" ht="20.25" customHeight="1" outlineLevel="2" x14ac:dyDescent="0.25">
      <c r="A191" s="687" t="s">
        <v>1092</v>
      </c>
      <c r="B191" s="688" t="s">
        <v>75</v>
      </c>
      <c r="C191" s="688">
        <v>187.39</v>
      </c>
      <c r="D191" s="689">
        <v>6.69</v>
      </c>
      <c r="E191" s="685">
        <f>D191*(1+$C$1)</f>
        <v>6.69</v>
      </c>
      <c r="F191" s="686">
        <f t="shared" ref="F191:F204" si="32">TRUNC((E191*C191),2)</f>
        <v>1253.6300000000001</v>
      </c>
    </row>
    <row r="192" spans="1:6" s="57" customFormat="1" ht="22.5" customHeight="1" outlineLevel="2" x14ac:dyDescent="0.25">
      <c r="A192" s="687" t="s">
        <v>5496</v>
      </c>
      <c r="B192" s="694" t="s">
        <v>5</v>
      </c>
      <c r="C192" s="688">
        <v>28</v>
      </c>
      <c r="D192" s="689">
        <v>134.41999999999999</v>
      </c>
      <c r="E192" s="685">
        <f>D192*(1+$C$1)</f>
        <v>134.41999999999999</v>
      </c>
      <c r="F192" s="686">
        <f t="shared" si="32"/>
        <v>3763.76</v>
      </c>
    </row>
    <row r="193" spans="1:6" s="57" customFormat="1" outlineLevel="2" x14ac:dyDescent="0.25">
      <c r="A193" s="687" t="s">
        <v>5395</v>
      </c>
      <c r="B193" s="688" t="s">
        <v>5</v>
      </c>
      <c r="C193" s="688">
        <v>88</v>
      </c>
      <c r="D193" s="689">
        <v>3.25</v>
      </c>
      <c r="E193" s="685">
        <f>D193*(1+$C$1)</f>
        <v>3.25</v>
      </c>
      <c r="F193" s="686">
        <f t="shared" si="32"/>
        <v>286</v>
      </c>
    </row>
    <row r="194" spans="1:6" s="57" customFormat="1" outlineLevel="2" x14ac:dyDescent="0.25">
      <c r="A194" s="687" t="s">
        <v>5406</v>
      </c>
      <c r="B194" s="688" t="s">
        <v>5</v>
      </c>
      <c r="C194" s="688">
        <v>20</v>
      </c>
      <c r="D194" s="689">
        <v>8.59</v>
      </c>
      <c r="E194" s="685">
        <f>D194*(1+$C$1)</f>
        <v>8.59</v>
      </c>
      <c r="F194" s="686">
        <f t="shared" si="32"/>
        <v>171.8</v>
      </c>
    </row>
    <row r="195" spans="1:6" s="57" customFormat="1" outlineLevel="2" x14ac:dyDescent="0.25">
      <c r="A195" s="1031" t="s">
        <v>3489</v>
      </c>
      <c r="B195" s="1032"/>
      <c r="C195" s="1033"/>
      <c r="D195" s="685">
        <v>93.99</v>
      </c>
      <c r="E195" s="705">
        <f>D195*(1+$C$1)</f>
        <v>93.99</v>
      </c>
      <c r="F195" s="706">
        <f t="shared" si="32"/>
        <v>0</v>
      </c>
    </row>
    <row r="196" spans="1:6" s="57" customFormat="1" ht="38.25" customHeight="1" outlineLevel="2" x14ac:dyDescent="0.25">
      <c r="A196" s="696" t="s">
        <v>5497</v>
      </c>
      <c r="B196" s="694" t="s">
        <v>10</v>
      </c>
      <c r="C196" s="688">
        <v>28.35</v>
      </c>
      <c r="D196" s="685">
        <v>19.38</v>
      </c>
      <c r="E196" s="705">
        <f t="shared" ref="E196:E197" si="33">D196*(1+$C$1)</f>
        <v>19.38</v>
      </c>
      <c r="F196" s="706">
        <f t="shared" si="32"/>
        <v>549.41999999999996</v>
      </c>
    </row>
    <row r="197" spans="1:6" s="57" customFormat="1" outlineLevel="2" x14ac:dyDescent="0.25">
      <c r="A197" s="696" t="s">
        <v>1232</v>
      </c>
      <c r="B197" s="694" t="s">
        <v>10</v>
      </c>
      <c r="C197" s="688">
        <v>25.72</v>
      </c>
      <c r="D197" s="685">
        <v>292.87</v>
      </c>
      <c r="E197" s="705">
        <f t="shared" si="33"/>
        <v>292.87</v>
      </c>
      <c r="F197" s="706">
        <f t="shared" si="32"/>
        <v>7532.61</v>
      </c>
    </row>
    <row r="198" spans="1:6" s="57" customFormat="1" outlineLevel="2" x14ac:dyDescent="0.25">
      <c r="A198" s="696" t="s">
        <v>5470</v>
      </c>
      <c r="B198" s="694" t="s">
        <v>5</v>
      </c>
      <c r="C198" s="688">
        <v>75</v>
      </c>
      <c r="D198" s="685"/>
      <c r="E198" s="705"/>
      <c r="F198" s="706"/>
    </row>
    <row r="199" spans="1:6" s="57" customFormat="1" ht="31.5" outlineLevel="2" x14ac:dyDescent="0.25">
      <c r="A199" s="696" t="s">
        <v>5498</v>
      </c>
      <c r="B199" s="694" t="s">
        <v>75</v>
      </c>
      <c r="C199" s="688">
        <v>232</v>
      </c>
      <c r="D199" s="685">
        <v>126.95</v>
      </c>
      <c r="E199" s="705">
        <f>D199*(1+$C$1)</f>
        <v>126.95</v>
      </c>
      <c r="F199" s="706">
        <f t="shared" si="32"/>
        <v>29452.400000000001</v>
      </c>
    </row>
    <row r="200" spans="1:6" s="57" customFormat="1" ht="31.5" outlineLevel="2" x14ac:dyDescent="0.25">
      <c r="A200" s="696" t="s">
        <v>5499</v>
      </c>
      <c r="B200" s="694" t="s">
        <v>75</v>
      </c>
      <c r="C200" s="688">
        <v>25.14</v>
      </c>
      <c r="D200" s="685">
        <v>320.35000000000002</v>
      </c>
      <c r="E200" s="705">
        <f t="shared" ref="E200" si="34">D200*(1+$C$1)</f>
        <v>320.35000000000002</v>
      </c>
      <c r="F200" s="706">
        <f t="shared" si="32"/>
        <v>8053.59</v>
      </c>
    </row>
    <row r="201" spans="1:6" s="57" customFormat="1" outlineLevel="2" x14ac:dyDescent="0.25">
      <c r="A201" s="696" t="s">
        <v>5500</v>
      </c>
      <c r="B201" s="694" t="s">
        <v>75</v>
      </c>
      <c r="C201" s="688">
        <v>93.5</v>
      </c>
      <c r="D201" s="685">
        <v>36.479999999999997</v>
      </c>
      <c r="E201" s="705">
        <f>D201*(1+$C$1)</f>
        <v>36.479999999999997</v>
      </c>
      <c r="F201" s="706">
        <f t="shared" si="32"/>
        <v>3410.88</v>
      </c>
    </row>
    <row r="202" spans="1:6" outlineLevel="2" x14ac:dyDescent="0.25">
      <c r="A202" s="696" t="s">
        <v>5501</v>
      </c>
      <c r="B202" s="707" t="s">
        <v>52</v>
      </c>
      <c r="C202" s="697">
        <v>18</v>
      </c>
      <c r="D202" s="685">
        <v>54.81</v>
      </c>
      <c r="E202" s="685">
        <f>D202*(1+$C$1)</f>
        <v>54.81</v>
      </c>
      <c r="F202" s="686">
        <f t="shared" si="32"/>
        <v>986.58</v>
      </c>
    </row>
    <row r="203" spans="1:6" outlineLevel="2" x14ac:dyDescent="0.25">
      <c r="A203" s="696" t="s">
        <v>1164</v>
      </c>
      <c r="B203" s="694" t="s">
        <v>52</v>
      </c>
      <c r="C203" s="688">
        <v>18</v>
      </c>
      <c r="D203" s="685">
        <v>4.18</v>
      </c>
      <c r="E203" s="685">
        <f>D203*(1+$C$1)</f>
        <v>4.18</v>
      </c>
      <c r="F203" s="686">
        <f t="shared" si="32"/>
        <v>75.239999999999995</v>
      </c>
    </row>
    <row r="204" spans="1:6" ht="16.5" outlineLevel="2" thickBot="1" x14ac:dyDescent="0.3">
      <c r="A204" s="708" t="s">
        <v>5502</v>
      </c>
      <c r="B204" s="709" t="s">
        <v>52</v>
      </c>
      <c r="C204" s="710">
        <v>4</v>
      </c>
      <c r="D204" s="711">
        <v>41.56</v>
      </c>
      <c r="E204" s="712">
        <f>D204*(1+$C$1)</f>
        <v>41.56</v>
      </c>
      <c r="F204" s="713">
        <f t="shared" si="32"/>
        <v>166.24</v>
      </c>
    </row>
    <row r="207" spans="1:6" x14ac:dyDescent="0.25">
      <c r="A207" s="58"/>
      <c r="B207" s="40"/>
      <c r="C207" s="40"/>
      <c r="D207" s="716"/>
      <c r="E207" s="716"/>
      <c r="F207" s="716"/>
    </row>
  </sheetData>
  <protectedRanges>
    <protectedRange sqref="D204" name="Intervalo1_13_1_2_1_1_1_1_2"/>
    <protectedRange sqref="D41:D43" name="Intervalo1_11_1_2_1_1_2_1_1_1_2_1_2"/>
    <protectedRange sqref="D86:D87 D96" name="Intervalo1_4_1_2_1_1_2_1_2_1_1_1"/>
    <protectedRange sqref="D193" name="Intervalo1_11_1_2_1_1_2_1_1_1_2_2_1"/>
    <protectedRange sqref="D107" name="Intervalo1_4_1_2_1_1_2_1_2_1_1_5"/>
    <protectedRange sqref="D97" name="Intervalo1_4_1_2_1_1_2_1_2_1_1_6"/>
    <protectedRange sqref="D127" name="Intervalo1_4_1_2_1_1_2_1_2_1_1_7"/>
  </protectedRanges>
  <mergeCells count="30">
    <mergeCell ref="A175:C175"/>
    <mergeCell ref="A182:C182"/>
    <mergeCell ref="A183:C183"/>
    <mergeCell ref="A189:C189"/>
    <mergeCell ref="A190:C190"/>
    <mergeCell ref="A195:C195"/>
    <mergeCell ref="A125:C125"/>
    <mergeCell ref="A132:C132"/>
    <mergeCell ref="A133:C133"/>
    <mergeCell ref="A144:C144"/>
    <mergeCell ref="A145:C145"/>
    <mergeCell ref="A174:C174"/>
    <mergeCell ref="A105:C105"/>
    <mergeCell ref="A112:C112"/>
    <mergeCell ref="A113:C113"/>
    <mergeCell ref="A116:C116"/>
    <mergeCell ref="A117:C117"/>
    <mergeCell ref="A124:C124"/>
    <mergeCell ref="A77:C77"/>
    <mergeCell ref="A78:C78"/>
    <mergeCell ref="A85:C85"/>
    <mergeCell ref="A94:C94"/>
    <mergeCell ref="A95:C95"/>
    <mergeCell ref="A104:C104"/>
    <mergeCell ref="A1:F1"/>
    <mergeCell ref="A4:C4"/>
    <mergeCell ref="A5:F5"/>
    <mergeCell ref="A6:C6"/>
    <mergeCell ref="A22:C22"/>
    <mergeCell ref="A23:C23"/>
  </mergeCells>
  <pageMargins left="0.51181102362204722" right="0.51181102362204722" top="0.89806547619047616" bottom="1.0629921259842521" header="0.31496062992125984" footer="0.31496062992125984"/>
  <pageSetup paperSize="9" scale="85" orientation="portrait" r:id="rId1"/>
  <headerFooter>
    <oddHeader>&amp;L&amp;G&amp;C&amp;"-,Negrito"&amp;9&amp;K00-035GOVERNO DO ESTADO DE MATO GROSSO&amp;"-,Regular"
SECRETARIA DE ESTADO DE EDUCAÇÃO
SECRETARIA ADJUNTA DE ESTRUTURA ESCOLAR&amp;R&amp;G</oddHeader>
    <oddFooter xml:space="preserve">&amp;L&amp;"-,Negrito"&amp;7&amp;K00-035Secretaria de Estado de Educação, Esporte e Lazer de Mato Grosso&amp;"-,Regular"
Rua Engenheiro Edgar Prado Arze, 215 - Centro Político Administrativo
CEP: 78049-909 | Cuiabá-MT
Fone: (65) 3613-6300&amp;C&amp;9&amp;K00-037&amp;P / &amp;N&amp;R&amp;7&amp;K00-036&amp;A
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showGridLines="0" view="pageLayout" zoomScale="90" zoomScaleNormal="100" zoomScalePageLayoutView="90" workbookViewId="0">
      <selection activeCell="B2" sqref="B2"/>
    </sheetView>
  </sheetViews>
  <sheetFormatPr defaultRowHeight="12.75" x14ac:dyDescent="0.25"/>
  <cols>
    <col min="1" max="1" width="10.7109375" style="268" customWidth="1"/>
    <col min="2" max="2" width="67.85546875" style="248" customWidth="1"/>
    <col min="3" max="3" width="9.28515625" style="268" customWidth="1"/>
    <col min="4" max="4" width="10.5703125" style="269" customWidth="1"/>
    <col min="5" max="16384" width="9.140625" style="248"/>
  </cols>
  <sheetData>
    <row r="1" spans="1:4" ht="50.25" customHeight="1" x14ac:dyDescent="0.25">
      <c r="A1" s="39" t="s">
        <v>2</v>
      </c>
      <c r="B1" s="338"/>
      <c r="C1" s="258"/>
      <c r="D1" s="259"/>
    </row>
    <row r="2" spans="1:4" ht="15" x14ac:dyDescent="0.25">
      <c r="A2" s="77" t="s">
        <v>1046</v>
      </c>
      <c r="B2" s="75" t="s">
        <v>3795</v>
      </c>
      <c r="C2" s="260" t="s">
        <v>33</v>
      </c>
      <c r="D2" s="261"/>
    </row>
    <row r="3" spans="1:4" x14ac:dyDescent="0.25">
      <c r="A3" s="77" t="s">
        <v>44</v>
      </c>
      <c r="B3" s="8"/>
      <c r="C3" s="260" t="s">
        <v>34</v>
      </c>
      <c r="D3" s="261"/>
    </row>
    <row r="4" spans="1:4" x14ac:dyDescent="0.25">
      <c r="A4" s="77" t="s">
        <v>45</v>
      </c>
      <c r="B4" s="8"/>
      <c r="C4" s="9"/>
      <c r="D4" s="717"/>
    </row>
    <row r="5" spans="1:4" ht="13.5" thickBot="1" x14ac:dyDescent="0.3">
      <c r="A5" s="11"/>
      <c r="B5" s="12"/>
      <c r="C5" s="13"/>
      <c r="D5" s="718"/>
    </row>
    <row r="6" spans="1:4" ht="13.5" thickTop="1" x14ac:dyDescent="0.25">
      <c r="A6" s="744" t="s">
        <v>36</v>
      </c>
      <c r="B6" s="744"/>
      <c r="C6" s="744"/>
      <c r="D6" s="744"/>
    </row>
    <row r="7" spans="1:4" s="268" customFormat="1" x14ac:dyDescent="0.25">
      <c r="A7" s="339" t="s">
        <v>0</v>
      </c>
      <c r="B7" s="339" t="s">
        <v>1</v>
      </c>
      <c r="C7" s="339" t="s">
        <v>5</v>
      </c>
      <c r="D7" s="719" t="s">
        <v>6</v>
      </c>
    </row>
    <row r="8" spans="1:4" x14ac:dyDescent="0.25">
      <c r="A8" s="341"/>
      <c r="B8" s="720" t="s">
        <v>13</v>
      </c>
      <c r="C8" s="341"/>
      <c r="D8" s="721"/>
    </row>
    <row r="9" spans="1:4" x14ac:dyDescent="0.25">
      <c r="A9" s="1045" t="s">
        <v>1136</v>
      </c>
      <c r="B9" s="1045"/>
      <c r="C9" s="1045"/>
      <c r="D9" s="1045"/>
    </row>
    <row r="10" spans="1:4" s="722" customFormat="1" x14ac:dyDescent="0.25">
      <c r="A10" s="262">
        <v>1</v>
      </c>
      <c r="B10" s="263" t="s">
        <v>154</v>
      </c>
      <c r="C10" s="262"/>
      <c r="D10" s="264"/>
    </row>
    <row r="11" spans="1:4" s="722" customFormat="1" ht="25.5" x14ac:dyDescent="0.25">
      <c r="A11" s="723" t="s">
        <v>15</v>
      </c>
      <c r="B11" s="724" t="s">
        <v>1137</v>
      </c>
      <c r="C11" s="723" t="s">
        <v>63</v>
      </c>
      <c r="D11" s="725">
        <v>5310</v>
      </c>
    </row>
    <row r="12" spans="1:4" s="722" customFormat="1" ht="25.5" x14ac:dyDescent="0.25">
      <c r="A12" s="723" t="s">
        <v>1047</v>
      </c>
      <c r="B12" s="724" t="s">
        <v>1138</v>
      </c>
      <c r="C12" s="723" t="s">
        <v>63</v>
      </c>
      <c r="D12" s="725">
        <v>8439</v>
      </c>
    </row>
    <row r="13" spans="1:4" s="722" customFormat="1" ht="25.5" x14ac:dyDescent="0.25">
      <c r="A13" s="723" t="s">
        <v>1049</v>
      </c>
      <c r="B13" s="724" t="s">
        <v>1139</v>
      </c>
      <c r="C13" s="723" t="s">
        <v>63</v>
      </c>
      <c r="D13" s="725">
        <v>1167</v>
      </c>
    </row>
    <row r="14" spans="1:4" s="722" customFormat="1" x14ac:dyDescent="0.25">
      <c r="A14" s="723" t="s">
        <v>1050</v>
      </c>
      <c r="B14" s="724" t="s">
        <v>5503</v>
      </c>
      <c r="C14" s="723" t="s">
        <v>63</v>
      </c>
      <c r="D14" s="725">
        <v>1151</v>
      </c>
    </row>
    <row r="15" spans="1:4" s="722" customFormat="1" x14ac:dyDescent="0.25">
      <c r="A15" s="723" t="s">
        <v>1051</v>
      </c>
      <c r="B15" s="724" t="s">
        <v>5504</v>
      </c>
      <c r="C15" s="723" t="s">
        <v>63</v>
      </c>
      <c r="D15" s="725">
        <v>107</v>
      </c>
    </row>
    <row r="16" spans="1:4" s="722" customFormat="1" x14ac:dyDescent="0.25">
      <c r="A16" s="723" t="s">
        <v>1052</v>
      </c>
      <c r="B16" s="724" t="s">
        <v>5505</v>
      </c>
      <c r="C16" s="723" t="s">
        <v>63</v>
      </c>
      <c r="D16" s="725">
        <v>88</v>
      </c>
    </row>
    <row r="17" spans="1:4" s="722" customFormat="1" x14ac:dyDescent="0.25">
      <c r="A17" s="723" t="s">
        <v>1053</v>
      </c>
      <c r="B17" s="724" t="s">
        <v>1140</v>
      </c>
      <c r="C17" s="723"/>
      <c r="D17" s="725">
        <v>151</v>
      </c>
    </row>
    <row r="18" spans="1:4" s="722" customFormat="1" x14ac:dyDescent="0.25">
      <c r="A18" s="723" t="s">
        <v>1054</v>
      </c>
      <c r="B18" s="724" t="s">
        <v>5506</v>
      </c>
      <c r="C18" s="723" t="s">
        <v>63</v>
      </c>
      <c r="D18" s="725">
        <v>375</v>
      </c>
    </row>
    <row r="19" spans="1:4" s="722" customFormat="1" x14ac:dyDescent="0.25">
      <c r="A19" s="723" t="s">
        <v>1055</v>
      </c>
      <c r="B19" s="724" t="s">
        <v>5507</v>
      </c>
      <c r="C19" s="723" t="s">
        <v>63</v>
      </c>
      <c r="D19" s="725">
        <v>376</v>
      </c>
    </row>
    <row r="20" spans="1:4" s="722" customFormat="1" ht="25.5" x14ac:dyDescent="0.25">
      <c r="A20" s="723" t="s">
        <v>1056</v>
      </c>
      <c r="B20" s="724" t="s">
        <v>1141</v>
      </c>
      <c r="C20" s="723" t="s">
        <v>60</v>
      </c>
      <c r="D20" s="725">
        <v>305</v>
      </c>
    </row>
    <row r="21" spans="1:4" s="722" customFormat="1" ht="25.5" x14ac:dyDescent="0.25">
      <c r="A21" s="723" t="s">
        <v>1057</v>
      </c>
      <c r="B21" s="724" t="s">
        <v>1142</v>
      </c>
      <c r="C21" s="723" t="s">
        <v>60</v>
      </c>
      <c r="D21" s="725">
        <v>7</v>
      </c>
    </row>
    <row r="22" spans="1:4" s="722" customFormat="1" ht="25.5" x14ac:dyDescent="0.25">
      <c r="A22" s="723" t="s">
        <v>1058</v>
      </c>
      <c r="B22" s="724" t="s">
        <v>1143</v>
      </c>
      <c r="C22" s="723" t="s">
        <v>60</v>
      </c>
      <c r="D22" s="725">
        <v>25</v>
      </c>
    </row>
    <row r="23" spans="1:4" s="722" customFormat="1" ht="25.5" x14ac:dyDescent="0.25">
      <c r="A23" s="723" t="s">
        <v>1060</v>
      </c>
      <c r="B23" s="724" t="s">
        <v>1144</v>
      </c>
      <c r="C23" s="723" t="s">
        <v>60</v>
      </c>
      <c r="D23" s="725">
        <v>125</v>
      </c>
    </row>
    <row r="24" spans="1:4" s="722" customFormat="1" ht="25.5" x14ac:dyDescent="0.25">
      <c r="A24" s="723" t="s">
        <v>1061</v>
      </c>
      <c r="B24" s="724" t="s">
        <v>5508</v>
      </c>
      <c r="C24" s="723" t="s">
        <v>5</v>
      </c>
      <c r="D24" s="725">
        <v>75</v>
      </c>
    </row>
    <row r="25" spans="1:4" s="722" customFormat="1" ht="25.5" x14ac:dyDescent="0.25">
      <c r="A25" s="723" t="s">
        <v>1062</v>
      </c>
      <c r="B25" s="724" t="s">
        <v>5509</v>
      </c>
      <c r="C25" s="723" t="s">
        <v>5510</v>
      </c>
      <c r="D25" s="725">
        <v>101</v>
      </c>
    </row>
    <row r="26" spans="1:4" s="722" customFormat="1" x14ac:dyDescent="0.25">
      <c r="A26" s="723" t="s">
        <v>1063</v>
      </c>
      <c r="B26" s="724" t="s">
        <v>5511</v>
      </c>
      <c r="C26" s="723" t="s">
        <v>5</v>
      </c>
      <c r="D26" s="725">
        <v>330</v>
      </c>
    </row>
    <row r="27" spans="1:4" s="722" customFormat="1" ht="25.5" x14ac:dyDescent="0.25">
      <c r="A27" s="723" t="s">
        <v>1064</v>
      </c>
      <c r="B27" s="266" t="s">
        <v>1145</v>
      </c>
      <c r="C27" s="265" t="s">
        <v>5</v>
      </c>
      <c r="D27" s="725">
        <v>125</v>
      </c>
    </row>
    <row r="28" spans="1:4" s="722" customFormat="1" ht="25.5" x14ac:dyDescent="0.25">
      <c r="A28" s="723" t="s">
        <v>1066</v>
      </c>
      <c r="B28" s="266" t="s">
        <v>5512</v>
      </c>
      <c r="C28" s="265" t="s">
        <v>5</v>
      </c>
      <c r="D28" s="725">
        <v>27</v>
      </c>
    </row>
    <row r="29" spans="1:4" s="722" customFormat="1" ht="25.5" x14ac:dyDescent="0.25">
      <c r="A29" s="723" t="s">
        <v>1067</v>
      </c>
      <c r="B29" s="266" t="s">
        <v>5513</v>
      </c>
      <c r="C29" s="265" t="s">
        <v>5</v>
      </c>
      <c r="D29" s="725">
        <v>49</v>
      </c>
    </row>
    <row r="30" spans="1:4" s="722" customFormat="1" ht="25.5" x14ac:dyDescent="0.25">
      <c r="A30" s="723" t="s">
        <v>1068</v>
      </c>
      <c r="B30" s="266" t="s">
        <v>5514</v>
      </c>
      <c r="C30" s="265" t="s">
        <v>5</v>
      </c>
      <c r="D30" s="725">
        <v>52</v>
      </c>
    </row>
    <row r="31" spans="1:4" s="722" customFormat="1" ht="25.5" x14ac:dyDescent="0.25">
      <c r="A31" s="723" t="s">
        <v>1069</v>
      </c>
      <c r="B31" s="724" t="s">
        <v>1146</v>
      </c>
      <c r="C31" s="723" t="s">
        <v>60</v>
      </c>
      <c r="D31" s="725">
        <v>20</v>
      </c>
    </row>
    <row r="32" spans="1:4" s="722" customFormat="1" ht="25.5" x14ac:dyDescent="0.25">
      <c r="A32" s="723" t="s">
        <v>1070</v>
      </c>
      <c r="B32" s="724" t="s">
        <v>1147</v>
      </c>
      <c r="C32" s="723" t="s">
        <v>60</v>
      </c>
      <c r="D32" s="725">
        <v>4</v>
      </c>
    </row>
    <row r="33" spans="1:4" s="722" customFormat="1" ht="25.5" x14ac:dyDescent="0.25">
      <c r="A33" s="723" t="s">
        <v>1072</v>
      </c>
      <c r="B33" s="724" t="s">
        <v>1148</v>
      </c>
      <c r="C33" s="723" t="s">
        <v>60</v>
      </c>
      <c r="D33" s="725">
        <v>24</v>
      </c>
    </row>
    <row r="34" spans="1:4" s="722" customFormat="1" ht="38.25" x14ac:dyDescent="0.25">
      <c r="A34" s="723" t="s">
        <v>1074</v>
      </c>
      <c r="B34" s="724" t="s">
        <v>5515</v>
      </c>
      <c r="C34" s="723" t="s">
        <v>60</v>
      </c>
      <c r="D34" s="725">
        <v>2</v>
      </c>
    </row>
    <row r="35" spans="1:4" s="722" customFormat="1" ht="38.25" x14ac:dyDescent="0.25">
      <c r="A35" s="723" t="s">
        <v>1075</v>
      </c>
      <c r="B35" s="724" t="s">
        <v>1149</v>
      </c>
      <c r="C35" s="723" t="s">
        <v>60</v>
      </c>
      <c r="D35" s="725">
        <v>2</v>
      </c>
    </row>
    <row r="36" spans="1:4" s="722" customFormat="1" ht="38.25" x14ac:dyDescent="0.25">
      <c r="A36" s="723" t="s">
        <v>1076</v>
      </c>
      <c r="B36" s="724" t="s">
        <v>5516</v>
      </c>
      <c r="C36" s="723" t="s">
        <v>5</v>
      </c>
      <c r="D36" s="725">
        <v>1</v>
      </c>
    </row>
    <row r="37" spans="1:4" s="722" customFormat="1" ht="38.25" x14ac:dyDescent="0.25">
      <c r="A37" s="723" t="s">
        <v>1077</v>
      </c>
      <c r="B37" s="724" t="s">
        <v>1150</v>
      </c>
      <c r="C37" s="723" t="s">
        <v>60</v>
      </c>
      <c r="D37" s="725">
        <v>1</v>
      </c>
    </row>
    <row r="38" spans="1:4" s="722" customFormat="1" ht="38.25" x14ac:dyDescent="0.25">
      <c r="A38" s="723" t="s">
        <v>1078</v>
      </c>
      <c r="B38" s="724" t="s">
        <v>5517</v>
      </c>
      <c r="C38" s="723" t="s">
        <v>5</v>
      </c>
      <c r="D38" s="725">
        <v>1</v>
      </c>
    </row>
    <row r="39" spans="1:4" s="722" customFormat="1" ht="25.5" x14ac:dyDescent="0.25">
      <c r="A39" s="723" t="s">
        <v>1079</v>
      </c>
      <c r="B39" s="724" t="s">
        <v>1151</v>
      </c>
      <c r="C39" s="726" t="s">
        <v>75</v>
      </c>
      <c r="D39" s="725">
        <v>3.1</v>
      </c>
    </row>
    <row r="40" spans="1:4" s="722" customFormat="1" ht="25.5" x14ac:dyDescent="0.25">
      <c r="A40" s="723" t="s">
        <v>1158</v>
      </c>
      <c r="B40" s="724" t="s">
        <v>1152</v>
      </c>
      <c r="C40" s="726" t="s">
        <v>75</v>
      </c>
      <c r="D40" s="725">
        <v>2.6</v>
      </c>
    </row>
    <row r="41" spans="1:4" s="722" customFormat="1" ht="25.5" x14ac:dyDescent="0.25">
      <c r="A41" s="723" t="s">
        <v>1159</v>
      </c>
      <c r="B41" s="724" t="s">
        <v>1153</v>
      </c>
      <c r="C41" s="723" t="s">
        <v>5</v>
      </c>
      <c r="D41" s="267">
        <v>4</v>
      </c>
    </row>
    <row r="42" spans="1:4" s="722" customFormat="1" ht="25.5" x14ac:dyDescent="0.25">
      <c r="A42" s="723" t="s">
        <v>1160</v>
      </c>
      <c r="B42" s="724" t="s">
        <v>1154</v>
      </c>
      <c r="C42" s="723" t="s">
        <v>60</v>
      </c>
      <c r="D42" s="725">
        <v>4</v>
      </c>
    </row>
    <row r="43" spans="1:4" s="722" customFormat="1" ht="25.5" x14ac:dyDescent="0.25">
      <c r="A43" s="723" t="s">
        <v>1161</v>
      </c>
      <c r="B43" s="724" t="s">
        <v>1155</v>
      </c>
      <c r="C43" s="723" t="s">
        <v>60</v>
      </c>
      <c r="D43" s="725">
        <v>8</v>
      </c>
    </row>
    <row r="44" spans="1:4" s="722" customFormat="1" ht="25.5" x14ac:dyDescent="0.25">
      <c r="A44" s="723" t="s">
        <v>1162</v>
      </c>
      <c r="B44" s="724" t="s">
        <v>5518</v>
      </c>
      <c r="C44" s="723" t="s">
        <v>60</v>
      </c>
      <c r="D44" s="725">
        <v>6</v>
      </c>
    </row>
    <row r="45" spans="1:4" s="722" customFormat="1" ht="25.5" x14ac:dyDescent="0.25">
      <c r="A45" s="723" t="s">
        <v>1163</v>
      </c>
      <c r="B45" s="724" t="s">
        <v>5519</v>
      </c>
      <c r="C45" s="723" t="s">
        <v>60</v>
      </c>
      <c r="D45" s="725">
        <v>2</v>
      </c>
    </row>
    <row r="46" spans="1:4" s="722" customFormat="1" x14ac:dyDescent="0.25">
      <c r="A46" s="723" t="s">
        <v>1165</v>
      </c>
      <c r="B46" s="447" t="s">
        <v>1156</v>
      </c>
      <c r="C46" s="723" t="s">
        <v>60</v>
      </c>
      <c r="D46" s="725">
        <v>9</v>
      </c>
    </row>
    <row r="47" spans="1:4" s="722" customFormat="1" x14ac:dyDescent="0.25">
      <c r="A47" s="723" t="s">
        <v>1166</v>
      </c>
      <c r="B47" s="447" t="s">
        <v>5520</v>
      </c>
      <c r="C47" s="723" t="s">
        <v>60</v>
      </c>
      <c r="D47" s="725">
        <v>8</v>
      </c>
    </row>
    <row r="48" spans="1:4" s="722" customFormat="1" x14ac:dyDescent="0.25">
      <c r="A48" s="723" t="s">
        <v>1167</v>
      </c>
      <c r="B48" s="447" t="s">
        <v>5521</v>
      </c>
      <c r="C48" s="723" t="s">
        <v>60</v>
      </c>
      <c r="D48" s="725">
        <v>60</v>
      </c>
    </row>
    <row r="49" spans="1:4" s="722" customFormat="1" ht="25.5" x14ac:dyDescent="0.25">
      <c r="A49" s="723" t="s">
        <v>1168</v>
      </c>
      <c r="B49" s="728" t="s">
        <v>5522</v>
      </c>
      <c r="C49" s="727" t="s">
        <v>5</v>
      </c>
      <c r="D49" s="725">
        <v>4</v>
      </c>
    </row>
    <row r="50" spans="1:4" s="722" customFormat="1" ht="25.5" x14ac:dyDescent="0.25">
      <c r="A50" s="723" t="s">
        <v>1169</v>
      </c>
      <c r="B50" s="724" t="s">
        <v>5523</v>
      </c>
      <c r="C50" s="723" t="s">
        <v>5</v>
      </c>
      <c r="D50" s="725">
        <v>2</v>
      </c>
    </row>
    <row r="51" spans="1:4" s="722" customFormat="1" ht="25.5" x14ac:dyDescent="0.25">
      <c r="A51" s="723" t="s">
        <v>1170</v>
      </c>
      <c r="B51" s="724" t="s">
        <v>5524</v>
      </c>
      <c r="C51" s="723" t="s">
        <v>5</v>
      </c>
      <c r="D51" s="725">
        <v>6</v>
      </c>
    </row>
    <row r="52" spans="1:4" s="722" customFormat="1" ht="25.5" x14ac:dyDescent="0.25">
      <c r="A52" s="723" t="s">
        <v>1171</v>
      </c>
      <c r="B52" s="724" t="s">
        <v>1157</v>
      </c>
      <c r="C52" s="723" t="s">
        <v>5</v>
      </c>
      <c r="D52" s="725">
        <v>6</v>
      </c>
    </row>
    <row r="53" spans="1:4" s="722" customFormat="1" ht="38.25" x14ac:dyDescent="0.25">
      <c r="A53" s="723" t="s">
        <v>1172</v>
      </c>
      <c r="B53" s="266" t="s">
        <v>5525</v>
      </c>
      <c r="C53" s="723" t="s">
        <v>5</v>
      </c>
      <c r="D53" s="725">
        <v>1</v>
      </c>
    </row>
    <row r="54" spans="1:4" s="722" customFormat="1" ht="25.5" x14ac:dyDescent="0.25">
      <c r="A54" s="723" t="s">
        <v>1174</v>
      </c>
      <c r="B54" s="724" t="s">
        <v>5526</v>
      </c>
      <c r="C54" s="723" t="s">
        <v>75</v>
      </c>
      <c r="D54" s="725">
        <v>51</v>
      </c>
    </row>
    <row r="55" spans="1:4" s="722" customFormat="1" ht="25.5" x14ac:dyDescent="0.25">
      <c r="A55" s="723" t="s">
        <v>1176</v>
      </c>
      <c r="B55" s="724" t="s">
        <v>5527</v>
      </c>
      <c r="C55" s="723" t="s">
        <v>75</v>
      </c>
      <c r="D55" s="725">
        <v>1686</v>
      </c>
    </row>
    <row r="56" spans="1:4" s="722" customFormat="1" ht="25.5" x14ac:dyDescent="0.25">
      <c r="A56" s="723" t="s">
        <v>1177</v>
      </c>
      <c r="B56" s="724" t="s">
        <v>5528</v>
      </c>
      <c r="C56" s="723" t="s">
        <v>75</v>
      </c>
      <c r="D56" s="725">
        <v>29</v>
      </c>
    </row>
    <row r="57" spans="1:4" s="722" customFormat="1" ht="25.5" x14ac:dyDescent="0.25">
      <c r="A57" s="723" t="s">
        <v>1178</v>
      </c>
      <c r="B57" s="724" t="s">
        <v>5529</v>
      </c>
      <c r="C57" s="723" t="s">
        <v>75</v>
      </c>
      <c r="D57" s="725">
        <v>418</v>
      </c>
    </row>
    <row r="58" spans="1:4" s="722" customFormat="1" ht="25.5" x14ac:dyDescent="0.25">
      <c r="A58" s="723" t="s">
        <v>1179</v>
      </c>
      <c r="B58" s="724" t="s">
        <v>5530</v>
      </c>
      <c r="C58" s="723" t="s">
        <v>63</v>
      </c>
      <c r="D58" s="725">
        <v>245</v>
      </c>
    </row>
    <row r="59" spans="1:4" s="722" customFormat="1" ht="25.5" x14ac:dyDescent="0.25">
      <c r="A59" s="723" t="s">
        <v>1180</v>
      </c>
      <c r="B59" s="724" t="s">
        <v>5531</v>
      </c>
      <c r="C59" s="723" t="s">
        <v>63</v>
      </c>
      <c r="D59" s="725">
        <v>189</v>
      </c>
    </row>
    <row r="60" spans="1:4" s="722" customFormat="1" ht="25.5" x14ac:dyDescent="0.25">
      <c r="A60" s="723" t="s">
        <v>1181</v>
      </c>
      <c r="B60" s="728" t="s">
        <v>5532</v>
      </c>
      <c r="C60" s="723" t="s">
        <v>63</v>
      </c>
      <c r="D60" s="725">
        <v>39</v>
      </c>
    </row>
    <row r="61" spans="1:4" s="722" customFormat="1" ht="25.5" x14ac:dyDescent="0.25">
      <c r="A61" s="723" t="s">
        <v>1182</v>
      </c>
      <c r="B61" s="728" t="s">
        <v>5533</v>
      </c>
      <c r="C61" s="723" t="s">
        <v>63</v>
      </c>
      <c r="D61" s="267">
        <v>462</v>
      </c>
    </row>
    <row r="62" spans="1:4" s="722" customFormat="1" x14ac:dyDescent="0.25">
      <c r="A62" s="723" t="s">
        <v>1183</v>
      </c>
      <c r="B62" s="724" t="s">
        <v>5534</v>
      </c>
      <c r="C62" s="723" t="s">
        <v>5</v>
      </c>
      <c r="D62" s="267">
        <v>1</v>
      </c>
    </row>
    <row r="63" spans="1:4" s="722" customFormat="1" x14ac:dyDescent="0.25">
      <c r="A63" s="723" t="s">
        <v>1184</v>
      </c>
      <c r="B63" s="724" t="s">
        <v>5535</v>
      </c>
      <c r="C63" s="723" t="s">
        <v>5</v>
      </c>
      <c r="D63" s="725">
        <v>12</v>
      </c>
    </row>
    <row r="64" spans="1:4" s="722" customFormat="1" x14ac:dyDescent="0.25">
      <c r="A64" s="723" t="s">
        <v>1185</v>
      </c>
      <c r="B64" s="724" t="s">
        <v>5536</v>
      </c>
      <c r="C64" s="723" t="s">
        <v>5</v>
      </c>
      <c r="D64" s="725">
        <v>5</v>
      </c>
    </row>
    <row r="65" spans="1:4" s="722" customFormat="1" x14ac:dyDescent="0.25">
      <c r="A65" s="723" t="s">
        <v>1186</v>
      </c>
      <c r="B65" s="724" t="s">
        <v>5537</v>
      </c>
      <c r="C65" s="723" t="s">
        <v>60</v>
      </c>
      <c r="D65" s="725">
        <v>17</v>
      </c>
    </row>
    <row r="66" spans="1:4" s="722" customFormat="1" x14ac:dyDescent="0.25">
      <c r="A66" s="723" t="s">
        <v>1187</v>
      </c>
      <c r="B66" s="724" t="s">
        <v>5538</v>
      </c>
      <c r="C66" s="723" t="s">
        <v>5</v>
      </c>
      <c r="D66" s="725">
        <v>4</v>
      </c>
    </row>
    <row r="67" spans="1:4" s="722" customFormat="1" ht="25.5" x14ac:dyDescent="0.25">
      <c r="A67" s="723" t="s">
        <v>1188</v>
      </c>
      <c r="B67" s="724" t="s">
        <v>5539</v>
      </c>
      <c r="C67" s="727" t="s">
        <v>5</v>
      </c>
      <c r="D67" s="725">
        <v>53</v>
      </c>
    </row>
    <row r="68" spans="1:4" s="722" customFormat="1" x14ac:dyDescent="0.25">
      <c r="A68" s="723" t="s">
        <v>1189</v>
      </c>
      <c r="B68" s="728" t="s">
        <v>5540</v>
      </c>
      <c r="C68" s="727" t="s">
        <v>5</v>
      </c>
      <c r="D68" s="725">
        <v>10</v>
      </c>
    </row>
    <row r="69" spans="1:4" s="722" customFormat="1" x14ac:dyDescent="0.25">
      <c r="A69" s="723" t="s">
        <v>1190</v>
      </c>
      <c r="B69" s="728" t="s">
        <v>5541</v>
      </c>
      <c r="C69" s="727" t="s">
        <v>5</v>
      </c>
      <c r="D69" s="725">
        <v>3</v>
      </c>
    </row>
    <row r="70" spans="1:4" s="722" customFormat="1" x14ac:dyDescent="0.25">
      <c r="A70" s="723" t="s">
        <v>1191</v>
      </c>
      <c r="B70" s="724" t="s">
        <v>1065</v>
      </c>
      <c r="C70" s="723" t="s">
        <v>153</v>
      </c>
      <c r="D70" s="725">
        <f>(D58+D59+D61)*0.3*0.6</f>
        <v>161.28</v>
      </c>
    </row>
    <row r="71" spans="1:4" s="722" customFormat="1" x14ac:dyDescent="0.25">
      <c r="A71" s="723" t="s">
        <v>1192</v>
      </c>
      <c r="B71" s="724" t="s">
        <v>1173</v>
      </c>
      <c r="C71" s="723" t="s">
        <v>153</v>
      </c>
      <c r="D71" s="725">
        <f>(D58+D59+D61)*0.3*0.6*0.95</f>
        <v>153.21599999999998</v>
      </c>
    </row>
    <row r="72" spans="1:4" s="722" customFormat="1" x14ac:dyDescent="0.25">
      <c r="A72" s="723" t="s">
        <v>1193</v>
      </c>
      <c r="B72" s="724" t="s">
        <v>5542</v>
      </c>
      <c r="C72" s="723" t="s">
        <v>60</v>
      </c>
      <c r="D72" s="725">
        <v>1</v>
      </c>
    </row>
    <row r="73" spans="1:4" s="730" customFormat="1" x14ac:dyDescent="0.25">
      <c r="A73" s="729"/>
      <c r="C73" s="729"/>
      <c r="D73" s="731"/>
    </row>
    <row r="75" spans="1:4" x14ac:dyDescent="0.25">
      <c r="A75" s="248"/>
      <c r="B75" s="732"/>
      <c r="C75" s="248"/>
      <c r="D75" s="722"/>
    </row>
  </sheetData>
  <mergeCells count="2">
    <mergeCell ref="A6:D6"/>
    <mergeCell ref="A9:D9"/>
  </mergeCells>
  <pageMargins left="0.51181102362204722" right="0.51181102362204722" top="0.9055118110236221" bottom="0.9055118110236221" header="0.31496062992125984" footer="0.31496062992125984"/>
  <pageSetup paperSize="9" scale="85" orientation="portrait" r:id="rId1"/>
  <headerFooter>
    <oddHeader>&amp;L&amp;G&amp;C&amp;"-,Negrito"&amp;9&amp;K00-041GOVERNO DO ESTADO DE MATO GROSSO&amp;"-,Regular"
SECRETARIA DE ESTADO DE EDUCAÇÃO
SECRETARIA ADJUNTA DE ESTRUTURA ESCOLAR&amp;R&amp;G</oddHeader>
    <oddFooter xml:space="preserve">&amp;L&amp;"-,Negrito"&amp;7&amp;K00-040Secretaria de Estado de Educação, Esporte e Lazer de Mato Grosso&amp;"-,Regular"
Rua Engenheiro Edgar Prado Arze, 215 - Centro Político Administrativo
CEP: 78049-909 | Cuiabá-MT
Fone: (65) 3613-6300&amp;C&amp;9&amp;K00-042&amp;P / &amp;N&amp;R&amp;7&amp;K00-041&amp;A
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1"/>
  <sheetViews>
    <sheetView showGridLines="0" view="pageBreakPreview" zoomScale="60" zoomScaleNormal="93" zoomScalePageLayoutView="85" workbookViewId="0">
      <pane ySplit="7" topLeftCell="A8" activePane="bottomLeft" state="frozen"/>
      <selection pane="bottomLeft" activeCell="B2" sqref="B2"/>
    </sheetView>
  </sheetViews>
  <sheetFormatPr defaultColWidth="9.140625" defaultRowHeight="15.75" outlineLevelRow="1" x14ac:dyDescent="0.25"/>
  <cols>
    <col min="1" max="1" width="10.7109375" style="46" customWidth="1"/>
    <col min="2" max="2" width="66.7109375" style="40" customWidth="1"/>
    <col min="3" max="3" width="13" style="46" customWidth="1"/>
    <col min="4" max="4" width="11.85546875" style="59" bestFit="1" customWidth="1"/>
    <col min="5" max="5" width="20.5703125" style="40" customWidth="1"/>
    <col min="6" max="6" width="18.85546875" style="40" customWidth="1"/>
    <col min="7" max="7" width="9.140625" style="40"/>
    <col min="8" max="8" width="14" style="40" customWidth="1"/>
    <col min="9" max="16384" width="9.140625" style="40"/>
  </cols>
  <sheetData>
    <row r="1" spans="1:5" s="248" customFormat="1" ht="15" x14ac:dyDescent="0.25">
      <c r="A1" s="73" t="s">
        <v>2</v>
      </c>
      <c r="B1" s="1046"/>
      <c r="C1" s="1046"/>
      <c r="D1" s="1046"/>
    </row>
    <row r="2" spans="1:5" s="248" customFormat="1" ht="15" x14ac:dyDescent="0.25">
      <c r="A2" s="74" t="s">
        <v>1046</v>
      </c>
      <c r="B2" s="75" t="s">
        <v>3795</v>
      </c>
      <c r="C2" s="249" t="s">
        <v>33</v>
      </c>
      <c r="D2" s="68"/>
    </row>
    <row r="3" spans="1:5" x14ac:dyDescent="0.25">
      <c r="A3" s="74" t="s">
        <v>44</v>
      </c>
      <c r="B3" s="75" t="s">
        <v>5543</v>
      </c>
      <c r="C3" s="249" t="s">
        <v>34</v>
      </c>
      <c r="D3" s="68"/>
    </row>
    <row r="4" spans="1:5" x14ac:dyDescent="0.25">
      <c r="A4" s="74" t="s">
        <v>45</v>
      </c>
      <c r="B4" s="187"/>
      <c r="C4" s="249" t="str">
        <f>[6]CRONOGRAMA!G4</f>
        <v xml:space="preserve">PERÍODO : </v>
      </c>
      <c r="D4" s="68"/>
    </row>
    <row r="5" spans="1:5" ht="16.5" thickBot="1" x14ac:dyDescent="0.3">
      <c r="A5" s="41"/>
      <c r="B5" s="43"/>
      <c r="C5" s="44"/>
      <c r="D5" s="45"/>
    </row>
    <row r="6" spans="1:5" ht="16.5" thickTop="1" x14ac:dyDescent="0.25">
      <c r="A6" s="749" t="s">
        <v>36</v>
      </c>
      <c r="B6" s="749"/>
      <c r="C6" s="749"/>
      <c r="D6" s="749"/>
    </row>
    <row r="7" spans="1:5" s="46" customFormat="1" ht="15.75" customHeight="1" x14ac:dyDescent="0.25">
      <c r="A7" s="66" t="s">
        <v>0</v>
      </c>
      <c r="B7" s="66" t="s">
        <v>1</v>
      </c>
      <c r="C7" s="66" t="s">
        <v>5</v>
      </c>
      <c r="D7" s="67" t="s">
        <v>6</v>
      </c>
    </row>
    <row r="8" spans="1:5" ht="15.75" customHeight="1" x14ac:dyDescent="0.25">
      <c r="A8" s="1047" t="s">
        <v>105</v>
      </c>
      <c r="B8" s="1047"/>
      <c r="C8" s="1047"/>
      <c r="D8" s="1047"/>
    </row>
    <row r="9" spans="1:5" outlineLevel="1" x14ac:dyDescent="0.25">
      <c r="A9" s="119">
        <v>1</v>
      </c>
      <c r="B9" s="250" t="s">
        <v>1045</v>
      </c>
      <c r="C9" s="119"/>
      <c r="D9" s="121"/>
    </row>
    <row r="10" spans="1:5" s="91" customFormat="1" ht="31.5" outlineLevel="1" x14ac:dyDescent="0.25">
      <c r="A10" s="251" t="s">
        <v>15</v>
      </c>
      <c r="B10" s="252" t="s">
        <v>426</v>
      </c>
      <c r="C10" s="733" t="s">
        <v>60</v>
      </c>
      <c r="D10" s="253">
        <v>95</v>
      </c>
      <c r="E10" s="734"/>
    </row>
    <row r="11" spans="1:5" s="91" customFormat="1" ht="31.5" outlineLevel="1" x14ac:dyDescent="0.25">
      <c r="A11" s="251" t="s">
        <v>1047</v>
      </c>
      <c r="B11" s="252" t="s">
        <v>5544</v>
      </c>
      <c r="C11" s="251" t="s">
        <v>60</v>
      </c>
      <c r="D11" s="253">
        <v>13</v>
      </c>
    </row>
    <row r="12" spans="1:5" s="91" customFormat="1" ht="31.5" outlineLevel="1" x14ac:dyDescent="0.25">
      <c r="A12" s="251" t="s">
        <v>1049</v>
      </c>
      <c r="B12" s="252" t="s">
        <v>396</v>
      </c>
      <c r="C12" s="251" t="s">
        <v>152</v>
      </c>
      <c r="D12" s="253">
        <v>569</v>
      </c>
    </row>
    <row r="13" spans="1:5" s="91" customFormat="1" ht="31.5" outlineLevel="1" x14ac:dyDescent="0.25">
      <c r="A13" s="251" t="s">
        <v>1050</v>
      </c>
      <c r="B13" s="252" t="s">
        <v>316</v>
      </c>
      <c r="C13" s="733" t="s">
        <v>60</v>
      </c>
      <c r="D13" s="253">
        <v>250</v>
      </c>
    </row>
    <row r="14" spans="1:5" s="91" customFormat="1" outlineLevel="1" x14ac:dyDescent="0.25">
      <c r="A14" s="251" t="s">
        <v>1051</v>
      </c>
      <c r="B14" s="252" t="str">
        <f>UPPER("Suporte guia simples Tel-220")</f>
        <v>SUPORTE GUIA SIMPLES TEL-220</v>
      </c>
      <c r="C14" s="251" t="s">
        <v>60</v>
      </c>
      <c r="D14" s="253">
        <v>622</v>
      </c>
    </row>
    <row r="15" spans="1:5" s="91" customFormat="1" outlineLevel="1" x14ac:dyDescent="0.25">
      <c r="A15" s="251" t="s">
        <v>1052</v>
      </c>
      <c r="B15" s="252" t="s">
        <v>395</v>
      </c>
      <c r="C15" s="733" t="s">
        <v>60</v>
      </c>
      <c r="D15" s="253">
        <v>57</v>
      </c>
    </row>
    <row r="16" spans="1:5" s="91" customFormat="1" ht="31.5" outlineLevel="1" x14ac:dyDescent="0.25">
      <c r="A16" s="251" t="s">
        <v>1053</v>
      </c>
      <c r="B16" s="252" t="s">
        <v>314</v>
      </c>
      <c r="C16" s="733" t="s">
        <v>60</v>
      </c>
      <c r="D16" s="253">
        <v>114</v>
      </c>
    </row>
    <row r="17" spans="1:4" s="91" customFormat="1" ht="31.5" outlineLevel="1" x14ac:dyDescent="0.25">
      <c r="A17" s="251" t="s">
        <v>1054</v>
      </c>
      <c r="B17" s="252" t="s">
        <v>315</v>
      </c>
      <c r="C17" s="733" t="s">
        <v>60</v>
      </c>
      <c r="D17" s="253">
        <v>58</v>
      </c>
    </row>
    <row r="18" spans="1:4" s="91" customFormat="1" ht="47.25" outlineLevel="1" x14ac:dyDescent="0.25">
      <c r="A18" s="251" t="s">
        <v>1055</v>
      </c>
      <c r="B18" s="252" t="s">
        <v>319</v>
      </c>
      <c r="C18" s="251" t="s">
        <v>63</v>
      </c>
      <c r="D18" s="253">
        <v>162</v>
      </c>
    </row>
    <row r="19" spans="1:4" s="91" customFormat="1" outlineLevel="1" x14ac:dyDescent="0.25">
      <c r="A19" s="251" t="s">
        <v>1056</v>
      </c>
      <c r="B19" s="252" t="s">
        <v>363</v>
      </c>
      <c r="C19" s="733" t="s">
        <v>60</v>
      </c>
      <c r="D19" s="253">
        <v>215.99999460000001</v>
      </c>
    </row>
    <row r="20" spans="1:4" s="91" customFormat="1" outlineLevel="1" x14ac:dyDescent="0.25">
      <c r="A20" s="251" t="s">
        <v>1057</v>
      </c>
      <c r="B20" s="252" t="s">
        <v>391</v>
      </c>
      <c r="C20" s="251" t="s">
        <v>60</v>
      </c>
      <c r="D20" s="253">
        <v>215.99999460000001</v>
      </c>
    </row>
    <row r="21" spans="1:4" s="91" customFormat="1" outlineLevel="1" x14ac:dyDescent="0.25">
      <c r="A21" s="251" t="s">
        <v>1058</v>
      </c>
      <c r="B21" s="252" t="s">
        <v>317</v>
      </c>
      <c r="C21" s="251" t="s">
        <v>63</v>
      </c>
      <c r="D21" s="253">
        <v>742</v>
      </c>
    </row>
    <row r="22" spans="1:4" s="91" customFormat="1" outlineLevel="1" x14ac:dyDescent="0.25">
      <c r="A22" s="251" t="s">
        <v>1060</v>
      </c>
      <c r="B22" s="252" t="s">
        <v>318</v>
      </c>
      <c r="C22" s="251" t="s">
        <v>63</v>
      </c>
      <c r="D22" s="253">
        <v>787</v>
      </c>
    </row>
    <row r="23" spans="1:4" s="91" customFormat="1" ht="63" outlineLevel="1" x14ac:dyDescent="0.25">
      <c r="A23" s="251" t="s">
        <v>1061</v>
      </c>
      <c r="B23" s="252" t="s">
        <v>393</v>
      </c>
      <c r="C23" s="733" t="s">
        <v>60</v>
      </c>
      <c r="D23" s="253">
        <v>11</v>
      </c>
    </row>
    <row r="24" spans="1:4" s="91" customFormat="1" ht="33.75" customHeight="1" outlineLevel="1" x14ac:dyDescent="0.25">
      <c r="A24" s="251" t="s">
        <v>1062</v>
      </c>
      <c r="B24" s="252" t="s">
        <v>5545</v>
      </c>
      <c r="C24" s="733" t="s">
        <v>60</v>
      </c>
      <c r="D24" s="253">
        <v>113</v>
      </c>
    </row>
    <row r="25" spans="1:4" s="91" customFormat="1" outlineLevel="1" x14ac:dyDescent="0.25">
      <c r="A25" s="251" t="s">
        <v>1063</v>
      </c>
      <c r="B25" s="252" t="s">
        <v>637</v>
      </c>
      <c r="C25" s="733" t="s">
        <v>60</v>
      </c>
      <c r="D25" s="253">
        <v>171</v>
      </c>
    </row>
    <row r="26" spans="1:4" s="91" customFormat="1" outlineLevel="1" x14ac:dyDescent="0.25">
      <c r="A26" s="251" t="s">
        <v>1064</v>
      </c>
      <c r="B26" s="252" t="s">
        <v>243</v>
      </c>
      <c r="C26" s="251" t="s">
        <v>89</v>
      </c>
      <c r="D26" s="253">
        <v>135.15</v>
      </c>
    </row>
    <row r="27" spans="1:4" s="91" customFormat="1" outlineLevel="1" x14ac:dyDescent="0.25">
      <c r="A27" s="251" t="s">
        <v>1066</v>
      </c>
      <c r="B27" s="252" t="s">
        <v>5546</v>
      </c>
      <c r="C27" s="251" t="s">
        <v>89</v>
      </c>
      <c r="D27" s="253">
        <v>135.15</v>
      </c>
    </row>
    <row r="28" spans="1:4" s="91" customFormat="1" ht="31.5" outlineLevel="1" x14ac:dyDescent="0.25">
      <c r="A28" s="251" t="s">
        <v>1067</v>
      </c>
      <c r="B28" s="252" t="s">
        <v>400</v>
      </c>
      <c r="C28" s="251" t="s">
        <v>60</v>
      </c>
      <c r="D28" s="253">
        <v>1</v>
      </c>
    </row>
    <row r="29" spans="1:4" s="91" customFormat="1" ht="31.5" outlineLevel="1" x14ac:dyDescent="0.25">
      <c r="A29" s="251" t="s">
        <v>1068</v>
      </c>
      <c r="B29" s="252" t="s">
        <v>428</v>
      </c>
      <c r="C29" s="251" t="s">
        <v>60</v>
      </c>
      <c r="D29" s="253">
        <v>1</v>
      </c>
    </row>
    <row r="30" spans="1:4" s="91" customFormat="1" outlineLevel="1" x14ac:dyDescent="0.25">
      <c r="A30" s="251" t="s">
        <v>1069</v>
      </c>
      <c r="B30" s="252" t="s">
        <v>427</v>
      </c>
      <c r="C30" s="251" t="s">
        <v>63</v>
      </c>
      <c r="D30" s="253">
        <v>10</v>
      </c>
    </row>
    <row r="31" spans="1:4" s="91" customFormat="1" ht="47.25" outlineLevel="1" x14ac:dyDescent="0.25">
      <c r="A31" s="251" t="s">
        <v>1070</v>
      </c>
      <c r="B31" s="252" t="str">
        <f>UPPER("Pára-raio tipo Franklin 350mm, latão cromado, para descida 1 cabo, c/suporte e conectores p/cabo terra e base")</f>
        <v>PÁRA-RAIO TIPO FRANKLIN 350MM, LATÃO CROMADO, PARA DESCIDA 1 CABO, C/SUPORTE E CONECTORES P/CABO TERRA E BASE</v>
      </c>
      <c r="C31" s="251" t="s">
        <v>60</v>
      </c>
      <c r="D31" s="253">
        <v>1</v>
      </c>
    </row>
    <row r="32" spans="1:4" s="254" customFormat="1" ht="31.5" outlineLevel="1" x14ac:dyDescent="0.25">
      <c r="A32" s="251" t="s">
        <v>1072</v>
      </c>
      <c r="B32" s="252" t="str">
        <f>UPPER("Sinalizador noturno c/ 1 lâmpada 15w, inclusive lampada e relé fotoeletrico individual")</f>
        <v>SINALIZADOR NOTURNO C/ 1 LÂMPADA 15W, INCLUSIVE LAMPADA E RELÉ FOTOELETRICO INDIVIDUAL</v>
      </c>
      <c r="C32" s="251" t="s">
        <v>60</v>
      </c>
      <c r="D32" s="253">
        <v>1</v>
      </c>
    </row>
    <row r="33" spans="1:4" s="254" customFormat="1" ht="47.25" outlineLevel="1" x14ac:dyDescent="0.25">
      <c r="A33" s="251" t="s">
        <v>1074</v>
      </c>
      <c r="B33" s="252" t="s">
        <v>698</v>
      </c>
      <c r="C33" s="251" t="s">
        <v>63</v>
      </c>
      <c r="D33" s="253">
        <v>120</v>
      </c>
    </row>
    <row r="34" spans="1:4" s="254" customFormat="1" ht="31.5" outlineLevel="1" x14ac:dyDescent="0.25">
      <c r="A34" s="251" t="s">
        <v>1075</v>
      </c>
      <c r="B34" s="252" t="s">
        <v>5547</v>
      </c>
      <c r="C34" s="251" t="s">
        <v>60</v>
      </c>
      <c r="D34" s="253">
        <v>1</v>
      </c>
    </row>
    <row r="35" spans="1:4" s="254" customFormat="1" ht="47.25" outlineLevel="1" x14ac:dyDescent="0.25">
      <c r="A35" s="251" t="s">
        <v>1076</v>
      </c>
      <c r="B35" s="252" t="s">
        <v>3789</v>
      </c>
      <c r="C35" s="251" t="s">
        <v>63</v>
      </c>
      <c r="D35" s="253">
        <v>40</v>
      </c>
    </row>
    <row r="36" spans="1:4" s="254" customFormat="1" ht="47.25" outlineLevel="1" x14ac:dyDescent="0.25">
      <c r="A36" s="251" t="s">
        <v>1077</v>
      </c>
      <c r="B36" s="252" t="s">
        <v>5548</v>
      </c>
      <c r="C36" s="251" t="s">
        <v>60</v>
      </c>
      <c r="D36" s="253">
        <v>4</v>
      </c>
    </row>
    <row r="37" spans="1:4" s="254" customFormat="1" ht="47.25" outlineLevel="1" x14ac:dyDescent="0.25">
      <c r="A37" s="251" t="s">
        <v>1078</v>
      </c>
      <c r="B37" s="252" t="s">
        <v>3791</v>
      </c>
      <c r="C37" s="251" t="s">
        <v>60</v>
      </c>
      <c r="D37" s="253">
        <v>1</v>
      </c>
    </row>
    <row r="38" spans="1:4" s="254" customFormat="1" ht="47.25" outlineLevel="1" x14ac:dyDescent="0.25">
      <c r="A38" s="251" t="s">
        <v>1079</v>
      </c>
      <c r="B38" s="252" t="s">
        <v>432</v>
      </c>
      <c r="C38" s="251" t="s">
        <v>60</v>
      </c>
      <c r="D38" s="253">
        <v>5</v>
      </c>
    </row>
    <row r="41" spans="1:4" x14ac:dyDescent="0.25">
      <c r="A41" s="40"/>
      <c r="B41" s="58"/>
      <c r="C41" s="40"/>
      <c r="D41" s="40"/>
    </row>
  </sheetData>
  <mergeCells count="3">
    <mergeCell ref="B1:D1"/>
    <mergeCell ref="A6:D6"/>
    <mergeCell ref="A8:D8"/>
  </mergeCells>
  <pageMargins left="0.51181102362204722" right="0.51181102362204722" top="0.9055118110236221" bottom="0.9055118110236221" header="0.31496062992125984" footer="0.31496062992125984"/>
  <pageSetup paperSize="9" scale="56" orientation="portrait" r:id="rId1"/>
  <headerFooter>
    <oddHeader>&amp;L&amp;G&amp;C&amp;"-,Negrito"&amp;9&amp;K00-040GOVERNO DO ESTADO DE MATO GROSSO&amp;"-,Regular"SECRETARIA DE ESTADO DE EDUCAÇÃOSECRETARIA ADJUNTA DE ESTRUTURA ESCOLAR&amp;R&amp;G</oddHeader>
    <oddFooter>&amp;L&amp;"-,Negrito"&amp;7&amp;K00-035Secretaria de Estado de Educação, Esporte e Lazer de Mato Grosso&amp;"-,Regular"Rua Engenheiro Edgar Prado Arze, 215 - Centro Político AdministrativoCEP: 78049-909 | Cuiabá-MTFone: (65) 3613-6300&amp;C&amp;9&amp;K00-037&amp;P / &amp;N&amp;R&amp;7&amp;K00-036&amp;A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E75"/>
  <sheetViews>
    <sheetView view="pageBreakPreview" topLeftCell="A55" zoomScale="60" zoomScaleNormal="100" workbookViewId="0">
      <selection activeCell="A74" sqref="A74"/>
    </sheetView>
  </sheetViews>
  <sheetFormatPr defaultRowHeight="15" x14ac:dyDescent="0.25"/>
  <cols>
    <col min="1" max="1" width="50.7109375" style="255" customWidth="1"/>
    <col min="2" max="2" width="5.85546875" customWidth="1"/>
    <col min="3" max="3" width="9" style="256" customWidth="1"/>
  </cols>
  <sheetData>
    <row r="1" spans="1:5" ht="18.75" customHeight="1" x14ac:dyDescent="0.3">
      <c r="A1" s="735" t="s">
        <v>1093</v>
      </c>
      <c r="B1" s="423"/>
      <c r="C1" s="736"/>
      <c r="D1" s="423"/>
      <c r="E1" s="737"/>
    </row>
    <row r="2" spans="1:5" ht="15.75" x14ac:dyDescent="0.25">
      <c r="A2" s="738" t="s">
        <v>697</v>
      </c>
      <c r="B2" s="423"/>
      <c r="C2" s="737"/>
    </row>
    <row r="3" spans="1:5" ht="31.5" x14ac:dyDescent="0.25">
      <c r="A3" s="739" t="s">
        <v>3669</v>
      </c>
      <c r="B3" s="183" t="s">
        <v>60</v>
      </c>
      <c r="C3" s="740">
        <v>9</v>
      </c>
    </row>
    <row r="4" spans="1:5" ht="47.25" x14ac:dyDescent="0.25">
      <c r="A4" s="170" t="s">
        <v>5549</v>
      </c>
      <c r="B4" s="183" t="s">
        <v>60</v>
      </c>
      <c r="C4" s="740">
        <v>4</v>
      </c>
    </row>
    <row r="5" spans="1:5" ht="31.5" x14ac:dyDescent="0.25">
      <c r="A5" s="143" t="s">
        <v>365</v>
      </c>
      <c r="B5" s="183" t="s">
        <v>60</v>
      </c>
      <c r="C5" s="740">
        <v>16</v>
      </c>
    </row>
    <row r="6" spans="1:5" ht="78.75" x14ac:dyDescent="0.25">
      <c r="A6" s="143" t="s">
        <v>5550</v>
      </c>
      <c r="B6" s="183" t="s">
        <v>61</v>
      </c>
      <c r="C6" s="740">
        <v>20</v>
      </c>
    </row>
    <row r="7" spans="1:5" ht="15.75" x14ac:dyDescent="0.25">
      <c r="A7" s="738" t="s">
        <v>1094</v>
      </c>
      <c r="B7" s="183"/>
      <c r="C7" s="740"/>
    </row>
    <row r="8" spans="1:5" ht="63" x14ac:dyDescent="0.25">
      <c r="A8" s="143" t="s">
        <v>367</v>
      </c>
      <c r="B8" s="183" t="s">
        <v>52</v>
      </c>
      <c r="C8" s="740">
        <v>60</v>
      </c>
    </row>
    <row r="9" spans="1:5" ht="78.75" x14ac:dyDescent="0.25">
      <c r="A9" s="170" t="s">
        <v>369</v>
      </c>
      <c r="B9" s="183" t="s">
        <v>52</v>
      </c>
      <c r="C9" s="740">
        <v>5</v>
      </c>
    </row>
    <row r="10" spans="1:5" ht="15.75" x14ac:dyDescent="0.25">
      <c r="A10" s="738" t="s">
        <v>1095</v>
      </c>
      <c r="B10" s="183"/>
      <c r="C10" s="740"/>
    </row>
    <row r="11" spans="1:5" ht="47.25" x14ac:dyDescent="0.25">
      <c r="A11" s="153" t="s">
        <v>371</v>
      </c>
      <c r="B11" s="183" t="s">
        <v>52</v>
      </c>
      <c r="C11" s="740">
        <v>6</v>
      </c>
    </row>
    <row r="12" spans="1:5" ht="31.5" x14ac:dyDescent="0.25">
      <c r="A12" s="153" t="s">
        <v>373</v>
      </c>
      <c r="B12" s="183" t="s">
        <v>52</v>
      </c>
      <c r="C12" s="740">
        <v>6</v>
      </c>
    </row>
    <row r="13" spans="1:5" ht="31.5" x14ac:dyDescent="0.25">
      <c r="A13" s="153" t="s">
        <v>375</v>
      </c>
      <c r="B13" s="183" t="s">
        <v>52</v>
      </c>
      <c r="C13" s="740">
        <v>1</v>
      </c>
    </row>
    <row r="14" spans="1:5" ht="31.5" x14ac:dyDescent="0.25">
      <c r="A14" s="153" t="s">
        <v>377</v>
      </c>
      <c r="B14" s="183" t="s">
        <v>52</v>
      </c>
      <c r="C14" s="740">
        <v>2</v>
      </c>
    </row>
    <row r="15" spans="1:5" ht="47.25" x14ac:dyDescent="0.25">
      <c r="A15" s="153" t="s">
        <v>698</v>
      </c>
      <c r="B15" s="183" t="s">
        <v>75</v>
      </c>
      <c r="C15" s="740">
        <v>2065</v>
      </c>
    </row>
    <row r="16" spans="1:5" ht="63" x14ac:dyDescent="0.25">
      <c r="A16" s="153" t="s">
        <v>323</v>
      </c>
      <c r="B16" s="183" t="s">
        <v>75</v>
      </c>
      <c r="C16" s="740">
        <v>25</v>
      </c>
    </row>
    <row r="17" spans="1:3" ht="31.5" x14ac:dyDescent="0.25">
      <c r="A17" s="741" t="s">
        <v>5551</v>
      </c>
      <c r="B17" s="183" t="s">
        <v>60</v>
      </c>
      <c r="C17" s="740">
        <v>12</v>
      </c>
    </row>
    <row r="18" spans="1:3" ht="15.75" x14ac:dyDescent="0.25">
      <c r="A18" s="741" t="s">
        <v>3678</v>
      </c>
      <c r="B18" s="183" t="s">
        <v>60</v>
      </c>
      <c r="C18" s="740">
        <v>12</v>
      </c>
    </row>
    <row r="19" spans="1:3" ht="15.75" x14ac:dyDescent="0.25">
      <c r="A19" s="741" t="s">
        <v>702</v>
      </c>
      <c r="B19" s="183" t="s">
        <v>60</v>
      </c>
      <c r="C19" s="740">
        <v>25</v>
      </c>
    </row>
    <row r="20" spans="1:3" ht="31.5" x14ac:dyDescent="0.25">
      <c r="A20" s="741" t="s">
        <v>914</v>
      </c>
      <c r="B20" s="183" t="s">
        <v>60</v>
      </c>
      <c r="C20" s="740">
        <v>8</v>
      </c>
    </row>
    <row r="21" spans="1:3" ht="47.25" x14ac:dyDescent="0.25">
      <c r="A21" s="741" t="s">
        <v>3680</v>
      </c>
      <c r="B21" s="183" t="s">
        <v>60</v>
      </c>
      <c r="C21" s="740">
        <v>36</v>
      </c>
    </row>
    <row r="22" spans="1:3" ht="31.5" x14ac:dyDescent="0.25">
      <c r="A22" s="741" t="s">
        <v>363</v>
      </c>
      <c r="B22" s="183" t="s">
        <v>60</v>
      </c>
      <c r="C22" s="740">
        <v>75</v>
      </c>
    </row>
    <row r="23" spans="1:3" ht="47.25" x14ac:dyDescent="0.25">
      <c r="A23" s="153" t="s">
        <v>320</v>
      </c>
      <c r="B23" s="183" t="s">
        <v>52</v>
      </c>
      <c r="C23" s="740">
        <v>25</v>
      </c>
    </row>
    <row r="24" spans="1:3" ht="31.5" x14ac:dyDescent="0.25">
      <c r="A24" s="143" t="s">
        <v>423</v>
      </c>
      <c r="B24" s="183" t="s">
        <v>52</v>
      </c>
      <c r="C24" s="740">
        <v>2</v>
      </c>
    </row>
    <row r="25" spans="1:3" ht="78.75" x14ac:dyDescent="0.25">
      <c r="A25" s="143" t="s">
        <v>379</v>
      </c>
      <c r="B25" s="183" t="s">
        <v>52</v>
      </c>
      <c r="C25" s="740">
        <v>8</v>
      </c>
    </row>
    <row r="26" spans="1:3" ht="31.5" x14ac:dyDescent="0.25">
      <c r="A26" s="741" t="s">
        <v>3682</v>
      </c>
      <c r="B26" s="183" t="s">
        <v>60</v>
      </c>
      <c r="C26" s="740">
        <v>38</v>
      </c>
    </row>
    <row r="27" spans="1:3" ht="47.25" x14ac:dyDescent="0.25">
      <c r="A27" s="153" t="s">
        <v>5552</v>
      </c>
      <c r="B27" s="183" t="s">
        <v>60</v>
      </c>
      <c r="C27" s="740">
        <v>30</v>
      </c>
    </row>
    <row r="28" spans="1:3" s="423" customFormat="1" ht="31.5" x14ac:dyDescent="0.25">
      <c r="A28" s="741" t="str">
        <f>UPPER("Fornecimento e instalação de tampa cega p/condulete 3/4""")</f>
        <v>FORNECIMENTO E INSTALAÇÃO DE TAMPA CEGA P/CONDULETE 3/4"</v>
      </c>
      <c r="B28" s="183" t="s">
        <v>60</v>
      </c>
      <c r="C28" s="740">
        <v>25</v>
      </c>
    </row>
    <row r="29" spans="1:3" s="423" customFormat="1" ht="31.5" x14ac:dyDescent="0.25">
      <c r="A29" s="741" t="str">
        <f>UPPER("Fornecimento e instalação de tampa cega p/condulete 1""")</f>
        <v>FORNECIMENTO E INSTALAÇÃO DE TAMPA CEGA P/CONDULETE 1"</v>
      </c>
      <c r="B29" s="183" t="s">
        <v>60</v>
      </c>
      <c r="C29" s="740">
        <v>25</v>
      </c>
    </row>
    <row r="30" spans="1:3" ht="63" x14ac:dyDescent="0.25">
      <c r="A30" s="741" t="s">
        <v>5553</v>
      </c>
      <c r="B30" s="183" t="s">
        <v>9</v>
      </c>
      <c r="C30" s="740">
        <v>18</v>
      </c>
    </row>
    <row r="31" spans="1:3" ht="15.75" x14ac:dyDescent="0.25">
      <c r="A31" s="738" t="s">
        <v>1096</v>
      </c>
      <c r="B31" s="183"/>
      <c r="C31" s="740"/>
    </row>
    <row r="32" spans="1:3" ht="31.5" x14ac:dyDescent="0.25">
      <c r="A32" s="741" t="s">
        <v>709</v>
      </c>
      <c r="B32" s="183" t="s">
        <v>60</v>
      </c>
      <c r="C32" s="740">
        <v>5</v>
      </c>
    </row>
    <row r="33" spans="1:3" ht="63" x14ac:dyDescent="0.25">
      <c r="A33" s="741" t="s">
        <v>710</v>
      </c>
      <c r="B33" s="183" t="s">
        <v>60</v>
      </c>
      <c r="C33" s="740">
        <v>9</v>
      </c>
    </row>
    <row r="34" spans="1:3" ht="63" x14ac:dyDescent="0.25">
      <c r="A34" s="741" t="s">
        <v>711</v>
      </c>
      <c r="B34" s="183" t="s">
        <v>60</v>
      </c>
      <c r="C34" s="740">
        <v>5</v>
      </c>
    </row>
    <row r="35" spans="1:3" ht="63" x14ac:dyDescent="0.25">
      <c r="A35" s="153" t="s">
        <v>5554</v>
      </c>
      <c r="B35" s="183" t="s">
        <v>60</v>
      </c>
      <c r="C35" s="740">
        <v>4</v>
      </c>
    </row>
    <row r="36" spans="1:3" ht="47.25" x14ac:dyDescent="0.25">
      <c r="A36" s="741" t="str">
        <f>UPPER("Fornecimento e instalação de adaptador storz para engate rápido 2 1/2 x 1 1/2 com tampão e corrente (incêndio)")</f>
        <v>FORNECIMENTO E INSTALAÇÃO DE ADAPTADOR STORZ PARA ENGATE RÁPIDO 2 1/2 X 1 1/2 COM TAMPÃO E CORRENTE (INCÊNDIO)</v>
      </c>
      <c r="B36" s="183" t="s">
        <v>60</v>
      </c>
      <c r="C36" s="740">
        <v>5</v>
      </c>
    </row>
    <row r="37" spans="1:3" ht="31.5" x14ac:dyDescent="0.25">
      <c r="A37" s="741" t="str">
        <f>UPPER("Fornecimento e instalação de esguicho reto p/mangueira de incêndio 19 mm")</f>
        <v>FORNECIMENTO E INSTALAÇÃO DE ESGUICHO RETO P/MANGUEIRA DE INCÊNDIO 19 MM</v>
      </c>
      <c r="B37" s="183" t="s">
        <v>60</v>
      </c>
      <c r="C37" s="740">
        <v>4</v>
      </c>
    </row>
    <row r="38" spans="1:3" ht="47.25" x14ac:dyDescent="0.25">
      <c r="A38" s="741" t="s">
        <v>5555</v>
      </c>
      <c r="B38" s="183" t="s">
        <v>60</v>
      </c>
      <c r="C38" s="740">
        <v>4</v>
      </c>
    </row>
    <row r="39" spans="1:3" ht="31.5" x14ac:dyDescent="0.25">
      <c r="A39" s="741" t="s">
        <v>468</v>
      </c>
      <c r="B39" s="183" t="s">
        <v>60</v>
      </c>
      <c r="C39" s="740">
        <v>1</v>
      </c>
    </row>
    <row r="40" spans="1:3" ht="15.75" x14ac:dyDescent="0.25">
      <c r="A40" s="741" t="s">
        <v>719</v>
      </c>
      <c r="B40" s="183" t="s">
        <v>60</v>
      </c>
      <c r="C40" s="740">
        <v>4</v>
      </c>
    </row>
    <row r="41" spans="1:3" ht="63" x14ac:dyDescent="0.25">
      <c r="A41" s="741" t="s">
        <v>710</v>
      </c>
      <c r="B41" s="183" t="s">
        <v>60</v>
      </c>
      <c r="C41" s="740">
        <v>11</v>
      </c>
    </row>
    <row r="42" spans="1:3" ht="47.25" x14ac:dyDescent="0.25">
      <c r="A42" s="741" t="str">
        <f>UPPER("Fornecimento e instalação de adaptador storz para engate rápido 2 1/2 x 2 1/2 com tampão e corrente (incêndio)")</f>
        <v>FORNECIMENTO E INSTALAÇÃO DE ADAPTADOR STORZ PARA ENGATE RÁPIDO 2 1/2 X 2 1/2 COM TAMPÃO E CORRENTE (INCÊNDIO)</v>
      </c>
      <c r="B42" s="183" t="s">
        <v>60</v>
      </c>
      <c r="C42" s="740">
        <v>5</v>
      </c>
    </row>
    <row r="43" spans="1:3" ht="31.5" x14ac:dyDescent="0.25">
      <c r="A43" s="741" t="str">
        <f>UPPER("Fornecimento e instalação de Registro gaveta bruto, d = 65 mm (2 1/2)")</f>
        <v>FORNECIMENTO E INSTALAÇÃO DE REGISTRO GAVETA BRUTO, D = 65 MM (2 1/2)</v>
      </c>
      <c r="B43" s="183" t="s">
        <v>60</v>
      </c>
      <c r="C43" s="740">
        <v>4</v>
      </c>
    </row>
    <row r="44" spans="1:3" ht="31.5" x14ac:dyDescent="0.25">
      <c r="A44" s="741" t="s">
        <v>321</v>
      </c>
      <c r="B44" s="183" t="s">
        <v>60</v>
      </c>
      <c r="C44" s="740">
        <v>1</v>
      </c>
    </row>
    <row r="45" spans="1:3" ht="15.75" x14ac:dyDescent="0.25">
      <c r="A45" s="741" t="s">
        <v>1034</v>
      </c>
      <c r="B45" s="183" t="s">
        <v>60</v>
      </c>
      <c r="C45" s="740">
        <v>1</v>
      </c>
    </row>
    <row r="46" spans="1:3" ht="31.5" x14ac:dyDescent="0.25">
      <c r="A46" s="741" t="s">
        <v>5556</v>
      </c>
      <c r="B46" s="183" t="s">
        <v>60</v>
      </c>
      <c r="C46" s="740">
        <v>1</v>
      </c>
    </row>
    <row r="47" spans="1:3" ht="63" x14ac:dyDescent="0.25">
      <c r="A47" s="741" t="s">
        <v>1109</v>
      </c>
      <c r="B47" s="183" t="s">
        <v>77</v>
      </c>
      <c r="C47" s="740">
        <v>3.2</v>
      </c>
    </row>
    <row r="48" spans="1:3" ht="63" x14ac:dyDescent="0.25">
      <c r="A48" s="741" t="s">
        <v>725</v>
      </c>
      <c r="B48" s="183" t="s">
        <v>60</v>
      </c>
      <c r="C48" s="740">
        <v>5</v>
      </c>
    </row>
    <row r="49" spans="1:3" ht="31.5" x14ac:dyDescent="0.25">
      <c r="A49" s="153" t="s">
        <v>5557</v>
      </c>
      <c r="B49" s="183" t="s">
        <v>60</v>
      </c>
      <c r="C49" s="740">
        <v>1</v>
      </c>
    </row>
    <row r="50" spans="1:3" ht="63" x14ac:dyDescent="0.25">
      <c r="A50" s="742" t="s">
        <v>727</v>
      </c>
      <c r="B50" s="183" t="s">
        <v>75</v>
      </c>
      <c r="C50" s="740">
        <v>155</v>
      </c>
    </row>
    <row r="51" spans="1:3" ht="78.75" x14ac:dyDescent="0.25">
      <c r="A51" s="741" t="s">
        <v>381</v>
      </c>
      <c r="B51" s="183" t="s">
        <v>60</v>
      </c>
      <c r="C51" s="740">
        <v>26</v>
      </c>
    </row>
    <row r="52" spans="1:3" ht="78.75" x14ac:dyDescent="0.25">
      <c r="A52" s="741" t="s">
        <v>3748</v>
      </c>
      <c r="B52" s="183" t="s">
        <v>60</v>
      </c>
      <c r="C52" s="740">
        <v>4</v>
      </c>
    </row>
    <row r="53" spans="1:3" ht="63" x14ac:dyDescent="0.25">
      <c r="A53" s="741" t="s">
        <v>382</v>
      </c>
      <c r="B53" s="183" t="s">
        <v>60</v>
      </c>
      <c r="C53" s="740">
        <v>26</v>
      </c>
    </row>
    <row r="54" spans="1:3" ht="63" x14ac:dyDescent="0.25">
      <c r="A54" s="741" t="s">
        <v>383</v>
      </c>
      <c r="B54" s="183" t="s">
        <v>60</v>
      </c>
      <c r="C54" s="740">
        <v>10</v>
      </c>
    </row>
    <row r="55" spans="1:3" ht="31.5" x14ac:dyDescent="0.25">
      <c r="A55" s="741" t="s">
        <v>322</v>
      </c>
      <c r="B55" s="183" t="s">
        <v>60</v>
      </c>
      <c r="C55" s="740">
        <v>1</v>
      </c>
    </row>
    <row r="56" spans="1:3" ht="31.5" x14ac:dyDescent="0.25">
      <c r="A56" s="153" t="s">
        <v>5558</v>
      </c>
      <c r="B56" s="183" t="s">
        <v>60</v>
      </c>
      <c r="C56" s="740">
        <v>1</v>
      </c>
    </row>
    <row r="57" spans="1:3" ht="31.5" x14ac:dyDescent="0.25">
      <c r="A57" s="153" t="str">
        <f>UPPER("Cabo de cobre isolado em EPR flexível 10mm² - 0,6Kv/1Kv/90°")</f>
        <v>CABO DE COBRE ISOLADO EM EPR FLEXÍVEL 10MM² - 0,6KV/1KV/90°</v>
      </c>
      <c r="B57" s="183" t="s">
        <v>75</v>
      </c>
      <c r="C57" s="740">
        <f>84*3</f>
        <v>252</v>
      </c>
    </row>
    <row r="58" spans="1:3" ht="47.25" x14ac:dyDescent="0.25">
      <c r="A58" s="741" t="str">
        <f>UPPER("Duto corrugado flexível em PEAD Ø = 1', tipo Kanalex ou similar, lançado diretamente no solo, exclusive escavação e reaterro")</f>
        <v>DUTO CORRUGADO FLEXÍVEL EM PEAD Ø = 1', TIPO KANALEX OU SIMILAR, LANÇADO DIRETAMENTE NO SOLO, EXCLUSIVE ESCAVAÇÃO E REATERRO</v>
      </c>
      <c r="B58" s="183" t="s">
        <v>75</v>
      </c>
      <c r="C58" s="740">
        <v>160</v>
      </c>
    </row>
    <row r="59" spans="1:3" ht="63" x14ac:dyDescent="0.25">
      <c r="A59" s="741" t="str">
        <f>UPPER("Duto corrugado flexível em PEAD Ø = 1.1/2', tipo Kanalex ou similar, lançado diretamente no solo, exclusive escavação e reaterro")</f>
        <v>DUTO CORRUGADO FLEXÍVEL EM PEAD Ø = 1.1/2', TIPO KANALEX OU SIMILAR, LANÇADO DIRETAMENTE NO SOLO, EXCLUSIVE ESCAVAÇÃO E REATERRO</v>
      </c>
      <c r="B59" s="183" t="s">
        <v>75</v>
      </c>
      <c r="C59" s="740">
        <v>140</v>
      </c>
    </row>
    <row r="60" spans="1:3" ht="63" x14ac:dyDescent="0.25">
      <c r="A60" s="741" t="s">
        <v>311</v>
      </c>
      <c r="B60" s="183" t="s">
        <v>75</v>
      </c>
      <c r="C60" s="740">
        <v>20</v>
      </c>
    </row>
    <row r="61" spans="1:3" ht="31.5" x14ac:dyDescent="0.25">
      <c r="A61" s="741" t="s">
        <v>466</v>
      </c>
      <c r="B61" s="183" t="s">
        <v>9</v>
      </c>
      <c r="C61" s="740">
        <v>10.199999999999999</v>
      </c>
    </row>
    <row r="62" spans="1:3" ht="94.5" x14ac:dyDescent="0.25">
      <c r="A62" s="741" t="s">
        <v>424</v>
      </c>
      <c r="B62" s="183" t="s">
        <v>60</v>
      </c>
      <c r="C62" s="740">
        <v>26</v>
      </c>
    </row>
    <row r="63" spans="1:3" ht="63" x14ac:dyDescent="0.25">
      <c r="A63" s="741" t="s">
        <v>521</v>
      </c>
      <c r="B63" s="183" t="s">
        <v>9</v>
      </c>
      <c r="C63" s="740">
        <v>42</v>
      </c>
    </row>
    <row r="64" spans="1:3" ht="31.5" x14ac:dyDescent="0.25">
      <c r="A64" s="741" t="s">
        <v>452</v>
      </c>
      <c r="B64" s="183" t="s">
        <v>60</v>
      </c>
      <c r="C64" s="740">
        <v>1</v>
      </c>
    </row>
    <row r="65" spans="1:3" ht="47.25" x14ac:dyDescent="0.25">
      <c r="A65" s="741" t="s">
        <v>1111</v>
      </c>
      <c r="B65" s="183" t="s">
        <v>60</v>
      </c>
      <c r="C65" s="740">
        <v>2</v>
      </c>
    </row>
    <row r="66" spans="1:3" ht="15.75" x14ac:dyDescent="0.25">
      <c r="A66" s="741" t="s">
        <v>243</v>
      </c>
      <c r="B66" s="183" t="s">
        <v>10</v>
      </c>
      <c r="C66" s="740">
        <v>69</v>
      </c>
    </row>
    <row r="67" spans="1:3" ht="15.75" x14ac:dyDescent="0.25">
      <c r="A67" s="741" t="s">
        <v>246</v>
      </c>
      <c r="B67" s="183" t="s">
        <v>10</v>
      </c>
      <c r="C67" s="740">
        <v>74</v>
      </c>
    </row>
    <row r="68" spans="1:3" ht="31.5" x14ac:dyDescent="0.25">
      <c r="A68" s="741" t="s">
        <v>1112</v>
      </c>
      <c r="B68" s="183" t="s">
        <v>75</v>
      </c>
      <c r="C68" s="740">
        <v>8</v>
      </c>
    </row>
    <row r="69" spans="1:3" ht="15.75" x14ac:dyDescent="0.25">
      <c r="A69" s="741" t="s">
        <v>1113</v>
      </c>
      <c r="B69" s="183" t="s">
        <v>60</v>
      </c>
      <c r="C69" s="740">
        <v>8</v>
      </c>
    </row>
    <row r="70" spans="1:3" ht="31.5" x14ac:dyDescent="0.25">
      <c r="A70" s="741" t="s">
        <v>1114</v>
      </c>
      <c r="B70" s="183" t="s">
        <v>60</v>
      </c>
      <c r="C70" s="740">
        <v>10</v>
      </c>
    </row>
    <row r="71" spans="1:3" ht="31.5" x14ac:dyDescent="0.25">
      <c r="A71" s="741" t="s">
        <v>1115</v>
      </c>
      <c r="B71" s="183" t="s">
        <v>60</v>
      </c>
      <c r="C71" s="740">
        <v>8</v>
      </c>
    </row>
    <row r="72" spans="1:3" ht="31.5" x14ac:dyDescent="0.25">
      <c r="A72" s="739" t="s">
        <v>5559</v>
      </c>
      <c r="B72" s="183" t="s">
        <v>52</v>
      </c>
      <c r="C72" s="740">
        <v>1</v>
      </c>
    </row>
    <row r="73" spans="1:3" ht="15.75" x14ac:dyDescent="0.25">
      <c r="A73" s="738" t="s">
        <v>1116</v>
      </c>
      <c r="B73" s="183"/>
      <c r="C73" s="740"/>
    </row>
    <row r="74" spans="1:3" ht="47.25" x14ac:dyDescent="0.25">
      <c r="A74" s="153" t="s">
        <v>1117</v>
      </c>
      <c r="B74" s="183" t="s">
        <v>60</v>
      </c>
      <c r="C74" s="740">
        <v>3</v>
      </c>
    </row>
    <row r="75" spans="1:3" ht="31.5" x14ac:dyDescent="0.25">
      <c r="A75" s="741" t="s">
        <v>390</v>
      </c>
      <c r="B75" s="183" t="s">
        <v>60</v>
      </c>
      <c r="C75" s="740">
        <v>52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15</vt:i4>
      </vt:variant>
    </vt:vector>
  </HeadingPairs>
  <TitlesOfParts>
    <vt:vector size="37" baseType="lpstr">
      <vt:lpstr>RESUMO</vt:lpstr>
      <vt:lpstr>PLANILHA ORÇAMENTARIA</vt:lpstr>
      <vt:lpstr>Composições do OrçaFascio</vt:lpstr>
      <vt:lpstr>Orçamento Analítico</vt:lpstr>
      <vt:lpstr>MAPA DE COTAÇÃO</vt:lpstr>
      <vt:lpstr>ENCARGOS SOCIAIS</vt:lpstr>
      <vt:lpstr>BDI - Aliquota ISSQN - 5,0%</vt:lpstr>
      <vt:lpstr>CRONOGRAMA</vt:lpstr>
      <vt:lpstr>Quant Bloco Salas + Urbanização</vt:lpstr>
      <vt:lpstr>Quant Const. Refeitorio</vt:lpstr>
      <vt:lpstr>Quant Vestiários + Quadra</vt:lpstr>
      <vt:lpstr>Muro de arrimo</vt:lpstr>
      <vt:lpstr>EST. BLOCO 1</vt:lpstr>
      <vt:lpstr>EST. BLOCO 2</vt:lpstr>
      <vt:lpstr>EST. CISTERNA</vt:lpstr>
      <vt:lpstr>EST. PERGOLADO</vt:lpstr>
      <vt:lpstr>EST. QUADRA</vt:lpstr>
      <vt:lpstr>EST. REFEITÓRIO</vt:lpstr>
      <vt:lpstr>HIDROSSANITÁRIO</vt:lpstr>
      <vt:lpstr>ELÉTRICA</vt:lpstr>
      <vt:lpstr>SPDA</vt:lpstr>
      <vt:lpstr>INCÊNDIO</vt:lpstr>
      <vt:lpstr>'BDI - Aliquota ISSQN - 5,0%'!Area_de_impressao</vt:lpstr>
      <vt:lpstr>'Composições do OrçaFascio'!Area_de_impressao</vt:lpstr>
      <vt:lpstr>CRONOGRAMA!Area_de_impressao</vt:lpstr>
      <vt:lpstr>'ENCARGOS SOCIAIS'!Area_de_impressao</vt:lpstr>
      <vt:lpstr>'EST. BLOCO 2'!Area_de_impressao</vt:lpstr>
      <vt:lpstr>'EST. PERGOLADO'!Area_de_impressao</vt:lpstr>
      <vt:lpstr>'EST. QUADRA'!Area_de_impressao</vt:lpstr>
      <vt:lpstr>'EST. REFEITÓRIO'!Area_de_impressao</vt:lpstr>
      <vt:lpstr>INCÊNDIO!Area_de_impressao</vt:lpstr>
      <vt:lpstr>'MAPA DE COTAÇÃO'!Area_de_impressao</vt:lpstr>
      <vt:lpstr>'Muro de arrimo'!Area_de_impressao</vt:lpstr>
      <vt:lpstr>'PLANILHA ORÇAMENTARIA'!Area_de_impressao</vt:lpstr>
      <vt:lpstr>'Quant Bloco Salas + Urbanização'!Area_de_impressao</vt:lpstr>
      <vt:lpstr>'Quant Const. Refeitorio'!Area_de_impressao</vt:lpstr>
      <vt:lpstr>'Quant Vestiários + Quadra'!Area_de_impressao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045311031</dc:creator>
  <cp:lastModifiedBy>Vinicius Jose Correa de Magalhaes</cp:lastModifiedBy>
  <cp:lastPrinted>2017-09-26T18:29:50Z</cp:lastPrinted>
  <dcterms:created xsi:type="dcterms:W3CDTF">2015-08-31T13:56:44Z</dcterms:created>
  <dcterms:modified xsi:type="dcterms:W3CDTF">2017-09-26T18:44:39Z</dcterms:modified>
</cp:coreProperties>
</file>