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2035" windowHeight="10560" firstSheet="4" activeTab="4"/>
  </bookViews>
  <sheets>
    <sheet name="Composição vão muro prefeitura" sheetId="1" state="hidden" r:id="rId1"/>
    <sheet name="Orçamento do muro PMVG" sheetId="2" state="hidden" r:id="rId2"/>
    <sheet name="Cronograma muro" sheetId="3" state="hidden" r:id="rId3"/>
    <sheet name="Plan4" sheetId="4" state="hidden" r:id="rId4"/>
    <sheet name="ORÇAMENTO DO MURO" sheetId="5" r:id="rId5"/>
    <sheet name="Planilha1" sheetId="7" state="hidden" r:id="rId6"/>
    <sheet name="CRONOGRAMA" sheetId="6" r:id="rId7"/>
  </sheets>
  <definedNames>
    <definedName name="_xlnm.Print_Area" localSheetId="6">CRONOGRAMA!$A$1:$V$22</definedName>
    <definedName name="_xlnm.Print_Area" localSheetId="4">'ORÇAMENTO DO MURO'!$A$1:$H$47</definedName>
    <definedName name="_xlnm.Print_Area" localSheetId="1">'Orçamento do muro PMVG'!$A$1:$H$62</definedName>
  </definedNames>
  <calcPr calcId="125725"/>
</workbook>
</file>

<file path=xl/calcChain.xml><?xml version="1.0" encoding="utf-8"?>
<calcChain xmlns="http://schemas.openxmlformats.org/spreadsheetml/2006/main">
  <c r="G29" i="5"/>
  <c r="G21"/>
  <c r="F29"/>
  <c r="F26"/>
  <c r="F21"/>
  <c r="F18"/>
  <c r="I3" i="7" l="1"/>
  <c r="G3"/>
  <c r="F27" i="5" l="1"/>
  <c r="F16"/>
  <c r="H16" s="1"/>
  <c r="F17"/>
  <c r="F37"/>
  <c r="F33"/>
  <c r="F19" l="1"/>
  <c r="H17" l="1"/>
  <c r="H33"/>
  <c r="H34" s="1"/>
  <c r="D11" i="6" s="1"/>
  <c r="F41" i="5"/>
  <c r="F28"/>
  <c r="H28" s="1"/>
  <c r="H26"/>
  <c r="F20"/>
  <c r="H18"/>
  <c r="F53" i="2"/>
  <c r="F48"/>
  <c r="F49" s="1"/>
  <c r="F33"/>
  <c r="F32" s="1"/>
  <c r="F30"/>
  <c r="F40"/>
  <c r="H40" s="1"/>
  <c r="F37"/>
  <c r="H37" s="1"/>
  <c r="F44"/>
  <c r="F26"/>
  <c r="F24" s="1"/>
  <c r="F23"/>
  <c r="F18"/>
  <c r="H18" s="1"/>
  <c r="F17"/>
  <c r="F19" s="1"/>
  <c r="F15"/>
  <c r="H16"/>
  <c r="H56" i="4"/>
  <c r="H15" i="2"/>
  <c r="V12" i="6" l="1"/>
  <c r="H12"/>
  <c r="H41" i="5"/>
  <c r="H42" s="1"/>
  <c r="D15" i="6" s="1"/>
  <c r="V16" s="1"/>
  <c r="H17" i="2"/>
  <c r="F44" i="5"/>
  <c r="H44" s="1"/>
  <c r="H19"/>
  <c r="H29"/>
  <c r="H37"/>
  <c r="H21"/>
  <c r="H27"/>
  <c r="H20"/>
  <c r="F31" i="2"/>
  <c r="F25"/>
  <c r="F38"/>
  <c r="H38" s="1"/>
  <c r="H41" s="1"/>
  <c r="F39"/>
  <c r="H39" s="1"/>
  <c r="F57"/>
  <c r="H57" s="1"/>
  <c r="F58"/>
  <c r="H58" s="1"/>
  <c r="H44"/>
  <c r="H45" s="1"/>
  <c r="S11" i="3" s="1"/>
  <c r="H49" i="2"/>
  <c r="H45" i="5" l="1"/>
  <c r="D17" i="6"/>
  <c r="V18" s="1"/>
  <c r="H30" i="5"/>
  <c r="D9" i="6" s="1"/>
  <c r="V10" s="1"/>
  <c r="H22" i="5"/>
  <c r="D7" i="6" s="1"/>
  <c r="F8" s="1"/>
  <c r="F21" s="1"/>
  <c r="F22" s="1"/>
  <c r="H38" i="5"/>
  <c r="D13" i="6" s="1"/>
  <c r="H59" i="2"/>
  <c r="S10" i="3"/>
  <c r="S14"/>
  <c r="H48" i="2"/>
  <c r="H10" i="6" l="1"/>
  <c r="V14"/>
  <c r="V21" s="1"/>
  <c r="H14"/>
  <c r="H8"/>
  <c r="H21" s="1"/>
  <c r="D19"/>
  <c r="H50" i="2"/>
  <c r="S12" i="3" s="1"/>
  <c r="H46" i="5"/>
  <c r="H47" s="1"/>
  <c r="D20" i="6" s="1"/>
  <c r="H30" i="2"/>
  <c r="H25"/>
  <c r="H23"/>
  <c r="H19"/>
  <c r="H20" s="1"/>
  <c r="H53"/>
  <c r="H54" s="1"/>
  <c r="S13" i="3" s="1"/>
  <c r="H33" i="2"/>
  <c r="G26"/>
  <c r="H22" i="6" l="1"/>
  <c r="V22" s="1"/>
  <c r="E17" i="3"/>
  <c r="E19" s="1"/>
  <c r="H31" i="2"/>
  <c r="H24"/>
  <c r="H27" s="1"/>
  <c r="H26"/>
  <c r="H32"/>
  <c r="H34" s="1"/>
  <c r="S8" i="3" l="1"/>
  <c r="S7"/>
  <c r="E22" i="1"/>
  <c r="G22" s="1"/>
  <c r="E21"/>
  <c r="G21" s="1"/>
  <c r="E15"/>
  <c r="G15" s="1"/>
  <c r="E20"/>
  <c r="G20" s="1"/>
  <c r="E19"/>
  <c r="G19" s="1"/>
  <c r="E16"/>
  <c r="G16" s="1"/>
  <c r="E14"/>
  <c r="G14" s="1"/>
  <c r="G9"/>
  <c r="G8"/>
  <c r="E17" l="1"/>
  <c r="G17" s="1"/>
  <c r="G23" s="1"/>
  <c r="E18"/>
  <c r="G18" s="1"/>
  <c r="S9" i="3"/>
  <c r="C17" s="1"/>
  <c r="H60" i="2"/>
  <c r="H61" s="1"/>
  <c r="G10" i="1"/>
  <c r="G26" l="1"/>
  <c r="G28" s="1"/>
  <c r="S15" i="3"/>
  <c r="T8" s="1"/>
  <c r="C19"/>
  <c r="C20" s="1"/>
  <c r="E20" s="1"/>
  <c r="C18"/>
  <c r="E18" s="1"/>
  <c r="F2" i="1"/>
  <c r="G2" s="1"/>
  <c r="T10" i="3" l="1"/>
  <c r="T7"/>
  <c r="T9"/>
  <c r="S16"/>
  <c r="T11"/>
  <c r="T13"/>
  <c r="T12"/>
  <c r="T14"/>
  <c r="T15" l="1"/>
</calcChain>
</file>

<file path=xl/sharedStrings.xml><?xml version="1.0" encoding="utf-8"?>
<sst xmlns="http://schemas.openxmlformats.org/spreadsheetml/2006/main" count="364" uniqueCount="176">
  <si>
    <t>EQUIPAMENTOS</t>
  </si>
  <si>
    <t>MÃO DE OBRA</t>
  </si>
  <si>
    <t>00006111</t>
  </si>
  <si>
    <t>SERVENTE</t>
  </si>
  <si>
    <t>H</t>
  </si>
  <si>
    <t>00004750</t>
  </si>
  <si>
    <t>PEDREIRO</t>
  </si>
  <si>
    <t>Leis Sociais</t>
  </si>
  <si>
    <t>%</t>
  </si>
  <si>
    <t>MATERIAL / SERVIÇOS</t>
  </si>
  <si>
    <t>SINAPI</t>
  </si>
  <si>
    <t>M²</t>
  </si>
  <si>
    <t>M³</t>
  </si>
  <si>
    <t>CHAPISCO RUSTICO TRACO 1:3 (CIMENTO E AREIA GROSSA), ESPESSURA 2CM, PREPARO MANUAL DA ARGAMASSA</t>
  </si>
  <si>
    <t>Benefício e Despesas Indiretas</t>
  </si>
  <si>
    <t>INSUMOS SINAPI   01/2017</t>
  </si>
  <si>
    <t>C2123</t>
  </si>
  <si>
    <t>SEINFRA</t>
  </si>
  <si>
    <t>SUB TOTAL</t>
  </si>
  <si>
    <t>CONSTRUÇÃO DO MURO DO PÁTIO DA PREFEITURA</t>
  </si>
  <si>
    <t>TOTAL COM BDI</t>
  </si>
  <si>
    <t>ALVENARIA DE VEDAÇÃO DE BLOCOS CERÂMICOS FURADOS NA HORIZONTAL DE 9X19X19CM (ESPESSURA 9CM)  E ARGAMASSA DE ASSENTAMENTO COM PREPARO MANUAL NO TRAÇO 1:2:8</t>
  </si>
  <si>
    <t>ARMAÇÃO DE AÇO CA 50 Ø 8MM</t>
  </si>
  <si>
    <t>KG</t>
  </si>
  <si>
    <t>ARMAÇÃO DE AÇO CA 60 Ø  4.2 MM</t>
  </si>
  <si>
    <t>ESCAVAÇÃO MANUAL DE SOLO ATÉ 1,5 M</t>
  </si>
  <si>
    <t>C2784</t>
  </si>
  <si>
    <t>Lance de 3m</t>
  </si>
  <si>
    <t>FORMAS DE TÁBUAS DE MADEIRA COM 30 CM DE LARGURA, PARA AS FUNDAÇÕES ONDE A VIGA BALDRAME COM H=0,40 M, COLUNAS DE CONCRETO DE 0,30M X H=3,40M A CADA 3,0 M E VIGA DE AMARRAÇÃO COM H=0,20 M.</t>
  </si>
  <si>
    <t>CONCRETO ARMADO DE 20 MPA, VIRADO NA BETONEIRA,  PARA AS VIGAS BALDRAME, AS COLUNAS A CADA 3,0M E VIGAS DE AMARRAÇÃO.</t>
  </si>
  <si>
    <t>REBOCO COM ARGAMASSA PRE-FABRICADA, ESPESSURA 0,5CM, PREPARO MECANICO DA ARGAMASSA</t>
  </si>
  <si>
    <t>PINTURA COM TINTA LÁTEX PVA, DUAS DEMÃOS</t>
  </si>
  <si>
    <t>TOTAL SEM BDI</t>
  </si>
  <si>
    <t>Preço base: Sinapi DEZEMBRO/2016 com desoneração</t>
  </si>
  <si>
    <t>BDI : 28,24 %</t>
  </si>
  <si>
    <t>ITEM</t>
  </si>
  <si>
    <t>CÓDIGO</t>
  </si>
  <si>
    <t>FONTE</t>
  </si>
  <si>
    <t>DESCRIÇÃO DOS SERVIÇOS</t>
  </si>
  <si>
    <t>UNID.</t>
  </si>
  <si>
    <t>QUANT.</t>
  </si>
  <si>
    <t>CUSTO UNITÁRIO</t>
  </si>
  <si>
    <t>CUSTO TOTAL.(R$)</t>
  </si>
  <si>
    <t>1.0</t>
  </si>
  <si>
    <t>1.1</t>
  </si>
  <si>
    <t>m²</t>
  </si>
  <si>
    <t>1.2</t>
  </si>
  <si>
    <t>Subtotal item 1.0</t>
  </si>
  <si>
    <t>2.0</t>
  </si>
  <si>
    <t>2.1</t>
  </si>
  <si>
    <t xml:space="preserve">Escavação manual de valas em qualquer terreno exceto rocha até h=1,50 m </t>
  </si>
  <si>
    <t>m³</t>
  </si>
  <si>
    <t>2.2</t>
  </si>
  <si>
    <t xml:space="preserve">Regularização e compactação do fundo de valas </t>
  </si>
  <si>
    <t>2.3</t>
  </si>
  <si>
    <t xml:space="preserve"> 73964/006</t>
  </si>
  <si>
    <t xml:space="preserve">Reaterro apiloado de vala com material da obra  </t>
  </si>
  <si>
    <t>Subtotal item 2.0</t>
  </si>
  <si>
    <t>3.0</t>
  </si>
  <si>
    <t>3.1</t>
  </si>
  <si>
    <t>3.2</t>
  </si>
  <si>
    <t>3.3</t>
  </si>
  <si>
    <t>3.4</t>
  </si>
  <si>
    <t>kg</t>
  </si>
  <si>
    <t>(94965 + 92873)</t>
  </si>
  <si>
    <r>
      <rPr>
        <b/>
        <sz val="10"/>
        <rFont val="Arial"/>
        <family val="2"/>
      </rPr>
      <t>Concreto para Fundação fck=25MPa</t>
    </r>
    <r>
      <rPr>
        <sz val="10"/>
        <rFont val="Arial"/>
        <family val="2"/>
      </rPr>
      <t>, incluindo preparo, lançamento, adensamento. Preparo com betoneira no local.</t>
    </r>
  </si>
  <si>
    <t>Subtotal item 3.0</t>
  </si>
  <si>
    <t>4.0</t>
  </si>
  <si>
    <t>4.1</t>
  </si>
  <si>
    <r>
      <t xml:space="preserve">Armação de aço </t>
    </r>
    <r>
      <rPr>
        <b/>
        <sz val="10"/>
        <rFont val="Arial"/>
        <family val="2"/>
      </rPr>
      <t xml:space="preserve"> CA-60</t>
    </r>
    <r>
      <rPr>
        <sz val="10"/>
        <rFont val="Arial"/>
        <family val="2"/>
      </rPr>
      <t xml:space="preserve"> Diam. 3,4 a 6,0mm-Fornecimento/corte perda de 10%) / dobra / colocação.</t>
    </r>
    <r>
      <rPr>
        <b/>
        <sz val="10"/>
        <rFont val="Arial"/>
        <family val="2"/>
      </rPr>
      <t>5 mm</t>
    </r>
  </si>
  <si>
    <t>Subtotal item 4.0</t>
  </si>
  <si>
    <t>5.0</t>
  </si>
  <si>
    <t>5.1</t>
  </si>
  <si>
    <t>Subtotal item 5.0</t>
  </si>
  <si>
    <t>6.0</t>
  </si>
  <si>
    <t>6.1</t>
  </si>
  <si>
    <t>Subtotal item 6.0</t>
  </si>
  <si>
    <t>7.0</t>
  </si>
  <si>
    <t>7.1</t>
  </si>
  <si>
    <t>Subtotal item 7.0</t>
  </si>
  <si>
    <t>SERVIÇOS FINAIS</t>
  </si>
  <si>
    <t>Custo Total da Obra sem BDI</t>
  </si>
  <si>
    <t>Custo TOTAL da obra com BDI de 28,24% incluso</t>
  </si>
  <si>
    <t>1.3</t>
  </si>
  <si>
    <t>2.4</t>
  </si>
  <si>
    <t xml:space="preserve">Chapisco aplicado com colher de pedreiro, executado com argamassa no traço 1:3 (cimento e areia) com preparo em betoneira </t>
  </si>
  <si>
    <t>Emboço Paulista com argamassa no traço 1:2:8 (cimento, cal hidratada e areia), preparo mecânico em betoneira  e com espessura de 20 mm.</t>
  </si>
  <si>
    <t>Pintura do muro com tinta látex pva, duas demãos</t>
  </si>
  <si>
    <t xml:space="preserve">Obra: Reforma e Execução de Muro na Lateral do Paço Municipal de Várzea Grande </t>
  </si>
  <si>
    <t>Capinação e limpeza com retirada dos entulhos onde será feita a calçada</t>
  </si>
  <si>
    <t xml:space="preserve"> 73859/002 </t>
  </si>
  <si>
    <t>Item</t>
  </si>
  <si>
    <t>Descrição</t>
  </si>
  <si>
    <t>Mês 1</t>
  </si>
  <si>
    <t>Mês 2</t>
  </si>
  <si>
    <t>Mês 5</t>
  </si>
  <si>
    <t>Mês 6</t>
  </si>
  <si>
    <t>Mês 7</t>
  </si>
  <si>
    <t>Mês 8</t>
  </si>
  <si>
    <t>Mês 9</t>
  </si>
  <si>
    <t>Mês 10</t>
  </si>
  <si>
    <t>Valor do Item (R$)</t>
  </si>
  <si>
    <t>(%) em relação ao total</t>
  </si>
  <si>
    <t xml:space="preserve"> PREFEITURA MUNICIPAL DE VÁRZEA GRANDE</t>
  </si>
  <si>
    <t>CRONOGRAMA FÍSICO FINANCEIRO</t>
  </si>
  <si>
    <t>MURO LATERAL DO PAÇO MUNICIPAL DE VÁRZEA GRANDE</t>
  </si>
  <si>
    <t>Fundação do muro com viga baldrame corrida</t>
  </si>
  <si>
    <t>Alvenaria do muro</t>
  </si>
  <si>
    <t>Revestimento do muro</t>
  </si>
  <si>
    <t>Pintura do muro</t>
  </si>
  <si>
    <t>Serviços finais incluindo a execução da calçada</t>
  </si>
  <si>
    <t>TOTAL GERAL SEM O BDI</t>
  </si>
  <si>
    <t>TOTAL GERAL COM O BDI</t>
  </si>
  <si>
    <t>DESEMBOLSO MENSAL SEM BDI</t>
  </si>
  <si>
    <t>DESEMBOLSO ACUMULADO MENSAL SEM BDI</t>
  </si>
  <si>
    <t>DESEMBOLSO MENSAL COM BDI</t>
  </si>
  <si>
    <t>DESEMBOLSO ACUMULADO MENSAL COM BDI</t>
  </si>
  <si>
    <t>1.4</t>
  </si>
  <si>
    <t>1.5</t>
  </si>
  <si>
    <t xml:space="preserve">73899/002 </t>
  </si>
  <si>
    <t xml:space="preserve">Obra: Reforma </t>
  </si>
  <si>
    <t>Demolição de alvenaria de tijolos cerâmicos - parede de 1/2 vez</t>
  </si>
  <si>
    <t>Demolição de concreto existente (viga de baldrame-39,5*0,12*0,40m - e 16 colunas de 0,15*2,8*0,12 existentes a cada 2,5 m)</t>
  </si>
  <si>
    <t xml:space="preserve">Forma de tábuas em madeira comum </t>
  </si>
  <si>
    <r>
      <rPr>
        <b/>
        <sz val="10"/>
        <color rgb="FFFF0000"/>
        <rFont val="Arial"/>
        <family val="2"/>
      </rPr>
      <t>FUNDAÇÃO</t>
    </r>
    <r>
      <rPr>
        <b/>
        <sz val="10"/>
        <rFont val="Arial"/>
        <family val="2"/>
      </rPr>
      <t xml:space="preserve"> PARA</t>
    </r>
    <r>
      <rPr>
        <b/>
        <sz val="10"/>
        <color rgb="FFFF0000"/>
        <rFont val="Arial"/>
        <family val="2"/>
      </rPr>
      <t xml:space="preserve"> NOVO MURO</t>
    </r>
    <r>
      <rPr>
        <b/>
        <sz val="10"/>
        <rFont val="Arial"/>
        <family val="2"/>
      </rPr>
      <t xml:space="preserve"> ONDE A VIGA BALDRAME CORRIDA TERÁ 40 CM DE ALTURA E COM 39,5 M DE COMPRIMENTO</t>
    </r>
  </si>
  <si>
    <r>
      <rPr>
        <b/>
        <sz val="10"/>
        <rFont val="Arial"/>
        <family val="2"/>
      </rPr>
      <t>Forma</t>
    </r>
    <r>
      <rPr>
        <sz val="10"/>
        <rFont val="Arial"/>
        <family val="2"/>
      </rPr>
      <t xml:space="preserve"> de</t>
    </r>
    <r>
      <rPr>
        <b/>
        <sz val="10"/>
        <rFont val="Arial"/>
        <family val="2"/>
      </rPr>
      <t xml:space="preserve"> tábuas</t>
    </r>
    <r>
      <rPr>
        <sz val="10"/>
        <rFont val="Arial"/>
        <family val="2"/>
      </rPr>
      <t xml:space="preserve"> de madeira para estrutura de concreto  - a ser utilizada nas </t>
    </r>
    <r>
      <rPr>
        <b/>
        <sz val="10"/>
        <rFont val="Arial"/>
        <family val="2"/>
      </rPr>
      <t>laterais das 16 colunas DE 0,20 * 2,80m,  e viga de amarração de 39,5 * 0,20 m</t>
    </r>
  </si>
  <si>
    <r>
      <rPr>
        <b/>
        <sz val="10"/>
        <rFont val="Arial"/>
        <family val="2"/>
      </rPr>
      <t>Concreto</t>
    </r>
    <r>
      <rPr>
        <sz val="10"/>
        <rFont val="Arial"/>
        <family val="2"/>
      </rPr>
      <t xml:space="preserve"> para estrutura </t>
    </r>
    <r>
      <rPr>
        <b/>
        <sz val="10"/>
        <rFont val="Arial"/>
        <family val="2"/>
      </rPr>
      <t>fck=25MPa</t>
    </r>
    <r>
      <rPr>
        <sz val="10"/>
        <rFont val="Arial"/>
        <family val="2"/>
      </rPr>
      <t>, para as 16 colunas de 0,2 * 0,10* 2,80m; e também para a viga de amarração de 0,20 * 0,10 * 39,5m  incluindo preparo, lançamento, adensamento do concreto. Preparo com betoneira no local.</t>
    </r>
  </si>
  <si>
    <r>
      <rPr>
        <b/>
        <sz val="10"/>
        <rFont val="Arial"/>
        <family val="2"/>
      </rPr>
      <t>Forma</t>
    </r>
    <r>
      <rPr>
        <sz val="10"/>
        <rFont val="Arial"/>
        <family val="2"/>
      </rPr>
      <t xml:space="preserve"> de</t>
    </r>
    <r>
      <rPr>
        <b/>
        <sz val="10"/>
        <rFont val="Arial"/>
        <family val="2"/>
      </rPr>
      <t xml:space="preserve"> tábuas</t>
    </r>
    <r>
      <rPr>
        <sz val="10"/>
        <rFont val="Arial"/>
        <family val="2"/>
      </rPr>
      <t xml:space="preserve"> de madeira para estrutura de concreto  - a ser utilizada nas </t>
    </r>
    <r>
      <rPr>
        <b/>
        <sz val="10"/>
        <rFont val="Arial"/>
        <family val="2"/>
      </rPr>
      <t>laterais das 32 colunas de 0,20 * 0,60 m,  e viga de amarração sobre o muro de 80,5 * 0,20 m</t>
    </r>
  </si>
  <si>
    <r>
      <rPr>
        <b/>
        <sz val="10"/>
        <rFont val="Arial"/>
        <family val="2"/>
      </rPr>
      <t>Concreto</t>
    </r>
    <r>
      <rPr>
        <sz val="10"/>
        <rFont val="Arial"/>
        <family val="2"/>
      </rPr>
      <t xml:space="preserve"> para estrutura </t>
    </r>
    <r>
      <rPr>
        <b/>
        <sz val="10"/>
        <rFont val="Arial"/>
        <family val="2"/>
      </rPr>
      <t>fck=25MPa</t>
    </r>
    <r>
      <rPr>
        <sz val="10"/>
        <rFont val="Arial"/>
        <family val="2"/>
      </rPr>
      <t>, para as 32 colunas de 0,2 * 0,10* 0,60m; e também para a viga de amarração de 0,20 * 0,10 * 80,5 m  incluindo preparo, lançamento, adensamento do concreto. Preparo com betoneira no local.</t>
    </r>
  </si>
  <si>
    <t>4.2</t>
  </si>
  <si>
    <t>4.3</t>
  </si>
  <si>
    <t>4.4</t>
  </si>
  <si>
    <r>
      <rPr>
        <b/>
        <sz val="10"/>
        <color rgb="FFFF0000"/>
        <rFont val="Arial"/>
        <family val="2"/>
      </rPr>
      <t>ESTRUTURA</t>
    </r>
    <r>
      <rPr>
        <b/>
        <sz val="10"/>
        <rFont val="Arial"/>
        <family val="2"/>
      </rPr>
      <t xml:space="preserve"> EM CONCRETO ARMADO PARA </t>
    </r>
    <r>
      <rPr>
        <b/>
        <sz val="10"/>
        <color rgb="FFFF0000"/>
        <rFont val="Arial"/>
        <family val="2"/>
      </rPr>
      <t>NOVA VIGA DE AMARRAÇÃO</t>
    </r>
    <r>
      <rPr>
        <b/>
        <sz val="10"/>
        <rFont val="Arial"/>
        <family val="2"/>
      </rPr>
      <t>, DE 0,20 X 80,5 M - SOBRE  MURO EXISTENTE E QUE NÃO SERÁ DEMOLIDO</t>
    </r>
  </si>
  <si>
    <r>
      <rPr>
        <b/>
        <sz val="10"/>
        <color rgb="FFFF0000"/>
        <rFont val="Arial"/>
        <family val="2"/>
      </rPr>
      <t>ESTRUTURA</t>
    </r>
    <r>
      <rPr>
        <b/>
        <sz val="10"/>
        <rFont val="Arial"/>
        <family val="2"/>
      </rPr>
      <t xml:space="preserve"> EM CONCRETO ARMADO PARA </t>
    </r>
    <r>
      <rPr>
        <b/>
        <sz val="10"/>
        <color rgb="FFFF0000"/>
        <rFont val="Arial"/>
        <family val="2"/>
      </rPr>
      <t>NOVO MURO</t>
    </r>
    <r>
      <rPr>
        <b/>
        <sz val="10"/>
        <rFont val="Arial"/>
        <family val="2"/>
      </rPr>
      <t xml:space="preserve">, CONSTITUÍDA DE </t>
    </r>
    <r>
      <rPr>
        <b/>
        <sz val="10"/>
        <color rgb="FFFF0000"/>
        <rFont val="Arial"/>
        <family val="2"/>
      </rPr>
      <t>16 COLUNAS ARMADAS</t>
    </r>
    <r>
      <rPr>
        <b/>
        <sz val="10"/>
        <rFont val="Arial"/>
        <family val="2"/>
      </rPr>
      <t xml:space="preserve"> DE 0,20 X 2,80 M,  A CADA 2,5 M, E </t>
    </r>
    <r>
      <rPr>
        <b/>
        <sz val="10"/>
        <color rgb="FFFF0000"/>
        <rFont val="Arial"/>
        <family val="2"/>
      </rPr>
      <t xml:space="preserve">VIGA DE AMARRAÇÃO SOBRE A ALVENARIA </t>
    </r>
    <r>
      <rPr>
        <b/>
        <sz val="10"/>
        <rFont val="Arial"/>
        <family val="2"/>
      </rPr>
      <t>DE 0,20 M DE ALTURA X 39,5 M DE COMPRIMENTO</t>
    </r>
  </si>
  <si>
    <r>
      <rPr>
        <b/>
        <sz val="10"/>
        <color rgb="FFFF0000"/>
        <rFont val="Arial"/>
        <family val="2"/>
      </rPr>
      <t>REVESTIMENTOS</t>
    </r>
    <r>
      <rPr>
        <b/>
        <sz val="10"/>
        <rFont val="Arial"/>
        <family val="2"/>
      </rPr>
      <t xml:space="preserve"> DE</t>
    </r>
    <r>
      <rPr>
        <b/>
        <sz val="10"/>
        <color rgb="FFFF0000"/>
        <rFont val="Arial"/>
        <family val="2"/>
      </rPr>
      <t xml:space="preserve"> TODO O MURO</t>
    </r>
  </si>
  <si>
    <r>
      <rPr>
        <b/>
        <sz val="10"/>
        <color rgb="FFFF0000"/>
        <rFont val="Arial"/>
        <family val="2"/>
      </rPr>
      <t>PINTURA</t>
    </r>
    <r>
      <rPr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 xml:space="preserve">DE TODO </t>
    </r>
    <r>
      <rPr>
        <b/>
        <sz val="10"/>
        <color rgb="FFFF0000"/>
        <rFont val="Arial"/>
        <family val="2"/>
      </rPr>
      <t>MURO</t>
    </r>
  </si>
  <si>
    <t>6.2</t>
  </si>
  <si>
    <t>8.0</t>
  </si>
  <si>
    <t>8.1</t>
  </si>
  <si>
    <t>8.2</t>
  </si>
  <si>
    <t>Subtotal item 8.0</t>
  </si>
  <si>
    <t>Estrutura constituída de 32 colunas e nova viga de amarração em concreto armado, sobre o antigo muro existente</t>
  </si>
  <si>
    <t xml:space="preserve">Estrutura constituída de colunas e viga de amarração em concreto armado, para o novo muro de 39,5 m </t>
  </si>
  <si>
    <r>
      <rPr>
        <b/>
        <sz val="10"/>
        <color rgb="FFFF0000"/>
        <rFont val="Arial"/>
        <family val="2"/>
      </rPr>
      <t xml:space="preserve">DEMOLIÇÕES E </t>
    </r>
    <r>
      <rPr>
        <b/>
        <sz val="10"/>
        <rFont val="Arial"/>
        <family val="2"/>
      </rPr>
      <t>EXECUÇÃO DO</t>
    </r>
    <r>
      <rPr>
        <b/>
        <sz val="10"/>
        <color rgb="FFFF0000"/>
        <rFont val="Arial"/>
        <family val="2"/>
      </rPr>
      <t xml:space="preserve"> MOVIMENTO DE TERRA </t>
    </r>
    <r>
      <rPr>
        <b/>
        <sz val="10"/>
        <rFont val="Arial"/>
        <family val="2"/>
      </rPr>
      <t>PARA FUNDAÇÃO - BALDRAME PARA O</t>
    </r>
    <r>
      <rPr>
        <b/>
        <sz val="10"/>
        <color rgb="FFFF0000"/>
        <rFont val="Arial"/>
        <family val="2"/>
      </rPr>
      <t xml:space="preserve"> NOVO MURO</t>
    </r>
    <r>
      <rPr>
        <b/>
        <sz val="10"/>
        <rFont val="Arial"/>
        <family val="2"/>
      </rPr>
      <t xml:space="preserve"> - COM 39,50 M DE COMPRIMENTO</t>
    </r>
  </si>
  <si>
    <t>Demolições e Movimento de Terra para execução da Fundação</t>
  </si>
  <si>
    <r>
      <t xml:space="preserve">Armação aço </t>
    </r>
    <r>
      <rPr>
        <b/>
        <sz val="10"/>
        <rFont val="Arial"/>
        <family val="2"/>
      </rPr>
      <t>CA-50</t>
    </r>
    <r>
      <rPr>
        <sz val="10"/>
        <rFont val="Arial"/>
        <family val="2"/>
      </rPr>
      <t>, Diam. 6,3 (1/4) á 12,5mm(1/2) -Fornecimento/corte perda de 10%) / dobra / colocação</t>
    </r>
    <r>
      <rPr>
        <b/>
        <sz val="10"/>
        <rFont val="Arial"/>
        <family val="2"/>
      </rPr>
      <t>.8 mm</t>
    </r>
  </si>
  <si>
    <r>
      <t>Armação aço</t>
    </r>
    <r>
      <rPr>
        <b/>
        <sz val="10"/>
        <rFont val="Arial"/>
        <family val="2"/>
      </rPr>
      <t xml:space="preserve"> CA-50</t>
    </r>
    <r>
      <rPr>
        <sz val="10"/>
        <rFont val="Arial"/>
        <family val="2"/>
      </rPr>
      <t xml:space="preserve">, Diam. 6,3 (1/4) á 12,5mm(1/2) -Fornecimento/corte perda de 10%) / dobra / colocação. </t>
    </r>
    <r>
      <rPr>
        <b/>
        <sz val="10"/>
        <rFont val="Arial"/>
        <family val="2"/>
      </rPr>
      <t>8 mm</t>
    </r>
  </si>
  <si>
    <r>
      <rPr>
        <b/>
        <sz val="10"/>
        <color rgb="FFFF0000"/>
        <rFont val="Arial"/>
        <family val="2"/>
      </rPr>
      <t xml:space="preserve">ALVENARIA </t>
    </r>
    <r>
      <rPr>
        <b/>
        <sz val="10"/>
        <rFont val="Arial"/>
        <family val="2"/>
      </rPr>
      <t xml:space="preserve">DE TIJOLOS FURADOS 9*9*19 CM - </t>
    </r>
    <r>
      <rPr>
        <b/>
        <sz val="10"/>
        <color rgb="FFFF0000"/>
        <rFont val="Arial"/>
        <family val="2"/>
      </rPr>
      <t>NOVO MURO</t>
    </r>
  </si>
  <si>
    <t>Alvenaria em tijolo cerâmico furado de 9x9x19 cm, parede com largura de 9 cm assentado em argamassa no traço 1:4 , cimento e areia média não peneirada, preparo manual, junta de 1cm.</t>
  </si>
  <si>
    <t>Execução de calçada, em concreto moldado no local, traço 1:2:3  ou de 15 Mpa, e espessura de 6 cm, com juntas de dilatação a cada 2 m</t>
  </si>
  <si>
    <t>PINTURA</t>
  </si>
  <si>
    <t>REVESTIMENTOS DE PAREDES</t>
  </si>
  <si>
    <t xml:space="preserve">ALVENARIA DE TIJOLOS FURADOS 9*9*19 CM </t>
  </si>
  <si>
    <t>LIMPEZA GERAL DA OBRA</t>
  </si>
  <si>
    <t xml:space="preserve">Limpeza geral da obra </t>
  </si>
  <si>
    <t>Escavação até 1,5 m de profundidade</t>
  </si>
  <si>
    <t>Mês 3</t>
  </si>
  <si>
    <t>Lastro de concreto magro 5cm</t>
  </si>
  <si>
    <t>1.6</t>
  </si>
  <si>
    <r>
      <rPr>
        <b/>
        <sz val="10"/>
        <rFont val="Arial"/>
        <family val="2"/>
      </rPr>
      <t>Forma</t>
    </r>
    <r>
      <rPr>
        <sz val="10"/>
        <rFont val="Arial"/>
        <family val="2"/>
      </rPr>
      <t xml:space="preserve"> de</t>
    </r>
    <r>
      <rPr>
        <b/>
        <sz val="10"/>
        <rFont val="Arial"/>
        <family val="2"/>
      </rPr>
      <t xml:space="preserve"> tábuas</t>
    </r>
    <r>
      <rPr>
        <sz val="10"/>
        <rFont val="Arial"/>
        <family val="2"/>
      </rPr>
      <t xml:space="preserve"> de madeira para estrutura de concreto  - a ser utilizada nas</t>
    </r>
    <r>
      <rPr>
        <b/>
        <sz val="10"/>
        <rFont val="Arial"/>
        <family val="2"/>
      </rPr>
      <t xml:space="preserve"> vigas de amarração de 243,71 * 0,20 m</t>
    </r>
  </si>
  <si>
    <t xml:space="preserve">Caiação ext sobre revestimento liso c/adição de fixador com duas demãos
</t>
  </si>
  <si>
    <t>MURO CEMITÉRIO SOUZA LIMA</t>
  </si>
  <si>
    <t>ESTRUTURA EM CONCRETO ARMADO PARA NOVO MURO, CONSTITUÍDA DE 100 COLUNAS ARMADAS DE 0,20 X 2,40 M,  A CADA 2,5 M, E VIGA DE AMARRAÇÃO SOBRE A ALVENARIA DE 0,20 M DE ALTURA X 243,71M DE COMPRIMENTO</t>
  </si>
  <si>
    <t>TOTAL DO ORÇAMENTO COM BDI DE 28,24%</t>
  </si>
  <si>
    <t>TOTAL DO ORÇAMENTO SEM BDI</t>
  </si>
  <si>
    <t>R$</t>
  </si>
  <si>
    <t>VALORES MENSAIS</t>
  </si>
  <si>
    <t>SIMPLES</t>
  </si>
  <si>
    <t>ACUMULADO COM BDI</t>
  </si>
  <si>
    <t>Fabricação, montagem e desmontagem de forma para pilar e viga baldrame, utilização de 2x</t>
  </si>
  <si>
    <r>
      <rPr>
        <b/>
        <sz val="10"/>
        <rFont val="Arial"/>
        <family val="2"/>
      </rPr>
      <t>Concreto</t>
    </r>
    <r>
      <rPr>
        <sz val="10"/>
        <rFont val="Arial"/>
        <family val="2"/>
      </rPr>
      <t xml:space="preserve"> para estrutura </t>
    </r>
    <r>
      <rPr>
        <b/>
        <sz val="10"/>
        <rFont val="Arial"/>
        <family val="2"/>
      </rPr>
      <t>fck=25MPa</t>
    </r>
    <r>
      <rPr>
        <sz val="10"/>
        <rFont val="Arial"/>
        <family val="2"/>
      </rPr>
      <t>, para viga de amarração de 0,20 * 0,10 * 243,71m  incluindo preparo, lançamento, adensamento do concreto. Preparo com betoneira no local.</t>
    </r>
  </si>
  <si>
    <t>Preço base: Sinapi AGOSTO/2018 com desoneração</t>
  </si>
  <si>
    <t>Obra: Reforma e execução do muro cemitério Souza Lima</t>
  </si>
  <si>
    <t>ESTRUTURA EM CONCRETO ARMADO PARA NOVO MURO, CONSTITUÍDA EM VIGA DE AMARRAÇÃO SOBRE A ALVENARIA DE 0,20 M DE ALTURA X 0,1 DE LARGURA X 243,71 M DE COMPRIMENTO</t>
  </si>
  <si>
    <t>FUNDAÇÃO PARA MURO EM VIGA BALDRAME EM CONCRETO ARMADO, TERÁ 40 CM DE ALTURA E COM 243,71 M DE COMPRIMENTO</t>
  </si>
  <si>
    <t>FUNDAÇÃO PARA NOVO MURO COM VIGA BALDRAME EM CONCRETO ARMADO, TERÁ 40 CM DE ALTURA E COM 243,71M DE COMPRIMENTO</t>
  </si>
</sst>
</file>

<file path=xl/styles.xml><?xml version="1.0" encoding="utf-8"?>
<styleSheet xmlns="http://schemas.openxmlformats.org/spreadsheetml/2006/main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_);\(&quot;R$ &quot;#,##0\)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#,##0.00000"/>
    <numFmt numFmtId="168" formatCode="#,##0.000000"/>
    <numFmt numFmtId="169" formatCode="#,##0.00_ ;\-#,##0.00\ "/>
    <numFmt numFmtId="170" formatCode="_(* #,##0.000_);_(* \(#,##0.000\);_(* &quot;-&quot;??_);_(@_)"/>
    <numFmt numFmtId="171" formatCode="#,##0.00;[Red]#,##0.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17"/>
      <name val="Arial"/>
      <family val="2"/>
    </font>
    <font>
      <b/>
      <sz val="10"/>
      <color indexed="34"/>
      <name val="Arial"/>
      <family val="2"/>
    </font>
    <font>
      <b/>
      <sz val="10"/>
      <color indexed="9"/>
      <name val="Arial"/>
      <family val="2"/>
    </font>
    <font>
      <sz val="10"/>
      <color indexed="34"/>
      <name val="Arial"/>
      <family val="2"/>
    </font>
    <font>
      <sz val="10"/>
      <color indexed="32"/>
      <name val="Arial"/>
      <family val="2"/>
    </font>
    <font>
      <sz val="10"/>
      <color indexed="36"/>
      <name val="Arial"/>
      <family val="2"/>
    </font>
    <font>
      <sz val="10"/>
      <color indexed="37"/>
      <name val="Arial"/>
      <family val="2"/>
    </font>
    <font>
      <b/>
      <sz val="10"/>
      <color indexed="22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32"/>
      <name val="Cambria"/>
      <family val="1"/>
    </font>
    <font>
      <b/>
      <sz val="15"/>
      <color indexed="32"/>
      <name val="Arial"/>
      <family val="2"/>
    </font>
    <font>
      <b/>
      <sz val="13"/>
      <color indexed="32"/>
      <name val="Arial"/>
      <family val="2"/>
    </font>
    <font>
      <b/>
      <sz val="11"/>
      <color indexed="32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9"/>
      </patternFill>
    </fill>
    <fill>
      <patternFill patternType="solid">
        <fgColor indexed="11"/>
        <bgColor indexed="11"/>
      </patternFill>
    </fill>
    <fill>
      <patternFill patternType="solid">
        <fgColor indexed="34"/>
      </patternFill>
    </fill>
    <fill>
      <patternFill patternType="solid">
        <fgColor indexed="30"/>
      </patternFill>
    </fill>
    <fill>
      <patternFill patternType="solid">
        <fgColor indexed="36"/>
        <bgColor indexed="36"/>
      </patternFill>
    </fill>
    <fill>
      <patternFill patternType="solid">
        <fgColor indexed="49"/>
      </patternFill>
    </fill>
    <fill>
      <patternFill patternType="solid">
        <fgColor indexed="22"/>
        <b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  <bgColor indexed="10"/>
      </patternFill>
    </fill>
    <fill>
      <patternFill patternType="solid">
        <fgColor indexed="50"/>
      </patternFill>
    </fill>
    <fill>
      <patternFill patternType="solid">
        <fgColor indexed="10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0"/>
      </left>
      <right style="double">
        <color indexed="0"/>
      </right>
      <top style="double">
        <color indexed="0"/>
      </top>
      <bottom style="double">
        <color indexed="0"/>
      </bottom>
      <diagonal/>
    </border>
    <border>
      <left/>
      <right/>
      <top/>
      <bottom style="double">
        <color indexed="3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thick">
        <color indexed="3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32"/>
      </top>
      <bottom style="double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66">
    <xf numFmtId="0" fontId="0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2" borderId="0" applyNumberFormat="0" applyFont="0" applyFill="0" applyProtection="0"/>
    <xf numFmtId="0" fontId="5" fillId="3" borderId="0" applyNumberFormat="0" applyFont="0" applyFill="0" applyProtection="0"/>
    <xf numFmtId="0" fontId="5" fillId="4" borderId="0" applyNumberFormat="0" applyFont="0" applyFill="0" applyProtection="0"/>
    <xf numFmtId="0" fontId="5" fillId="2" borderId="0" applyNumberFormat="0" applyFont="0" applyFill="0" applyProtection="0"/>
    <xf numFmtId="0" fontId="5" fillId="4" borderId="0" applyNumberFormat="0" applyFont="0" applyFill="0" applyProtection="0"/>
    <xf numFmtId="0" fontId="5" fillId="3" borderId="0" applyNumberFormat="0" applyFont="0" applyFill="0" applyProtection="0"/>
    <xf numFmtId="0" fontId="5" fillId="2" borderId="0" applyNumberFormat="0" applyFont="0" applyFill="0" applyProtection="0"/>
    <xf numFmtId="0" fontId="5" fillId="5" borderId="0" applyNumberFormat="0" applyFont="0" applyFill="0" applyProtection="0"/>
    <xf numFmtId="0" fontId="5" fillId="6" borderId="0" applyNumberFormat="0" applyFont="0" applyFill="0" applyProtection="0"/>
    <xf numFmtId="0" fontId="5" fillId="2" borderId="0" applyNumberFormat="0" applyFont="0" applyFill="0" applyProtection="0"/>
    <xf numFmtId="0" fontId="5" fillId="2" borderId="0" applyNumberFormat="0" applyFont="0" applyFill="0" applyProtection="0"/>
    <xf numFmtId="0" fontId="5" fillId="7" borderId="0" applyNumberFormat="0" applyFont="0" applyFill="0" applyProtection="0"/>
    <xf numFmtId="0" fontId="6" fillId="8" borderId="0" applyNumberFormat="0" applyFont="0" applyFill="0" applyProtection="0"/>
    <xf numFmtId="0" fontId="6" fillId="5" borderId="0" applyNumberFormat="0" applyFont="0" applyFill="0" applyProtection="0"/>
    <xf numFmtId="0" fontId="6" fillId="6" borderId="0" applyNumberFormat="0" applyFont="0" applyFill="0" applyProtection="0"/>
    <xf numFmtId="0" fontId="6" fillId="9" borderId="0" applyNumberFormat="0" applyFont="0" applyFill="0" applyProtection="0"/>
    <xf numFmtId="0" fontId="6" fillId="10" borderId="0" applyNumberFormat="0" applyFont="0" applyFill="0" applyProtection="0"/>
    <xf numFmtId="0" fontId="6" fillId="7" borderId="0" applyNumberFormat="0" applyFont="0" applyFill="0" applyProtection="0"/>
    <xf numFmtId="0" fontId="7" fillId="4" borderId="0" applyNumberFormat="0" applyFont="0" applyFill="0" applyProtection="0"/>
    <xf numFmtId="0" fontId="8" fillId="11" borderId="1" applyNumberFormat="0" applyFont="0" applyProtection="0"/>
    <xf numFmtId="0" fontId="9" fillId="12" borderId="2" applyNumberFormat="0" applyFont="0" applyProtection="0"/>
    <xf numFmtId="0" fontId="10" fillId="0" borderId="3" applyNumberFormat="0" applyFont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6" fillId="13" borderId="0" applyNumberFormat="0" applyFont="0" applyFill="0" applyProtection="0"/>
    <xf numFmtId="0" fontId="6" fillId="14" borderId="0" applyNumberFormat="0" applyFont="0" applyFill="0" applyProtection="0"/>
    <xf numFmtId="0" fontId="6" fillId="15" borderId="0" applyNumberFormat="0" applyFont="0" applyFill="0" applyProtection="0"/>
    <xf numFmtId="0" fontId="6" fillId="9" borderId="0" applyNumberFormat="0" applyFont="0" applyFill="0" applyProtection="0"/>
    <xf numFmtId="0" fontId="6" fillId="10" borderId="0" applyNumberFormat="0" applyFont="0" applyFill="0" applyProtection="0"/>
    <xf numFmtId="0" fontId="6" fillId="16" borderId="0" applyNumberFormat="0" applyFont="0" applyFill="0" applyProtection="0"/>
    <xf numFmtId="0" fontId="11" fillId="3" borderId="1" applyNumberFormat="0" applyFont="0" applyProtection="0"/>
    <xf numFmtId="0" fontId="4" fillId="0" borderId="0"/>
    <xf numFmtId="0" fontId="12" fillId="3" borderId="0" applyNumberFormat="0" applyFont="0" applyFill="0" applyProtection="0"/>
    <xf numFmtId="44" fontId="5" fillId="0" borderId="0" applyFont="0" applyFill="0" applyBorder="0" applyAlignment="0" applyProtection="0"/>
    <xf numFmtId="0" fontId="13" fillId="17" borderId="0" applyNumberFormat="0" applyFont="0" applyFill="0" applyProtection="0"/>
    <xf numFmtId="0" fontId="5" fillId="0" borderId="0"/>
    <xf numFmtId="0" fontId="5" fillId="0" borderId="0"/>
    <xf numFmtId="0" fontId="5" fillId="0" borderId="0"/>
    <xf numFmtId="0" fontId="22" fillId="0" borderId="0"/>
    <xf numFmtId="0" fontId="5" fillId="17" borderId="4" applyNumberFormat="0" applyFont="0" applyBorder="0" applyProtection="0"/>
    <xf numFmtId="9" fontId="5" fillId="0" borderId="0" applyFont="0" applyFill="0" applyBorder="0" applyAlignment="0" applyProtection="0"/>
    <xf numFmtId="0" fontId="14" fillId="11" borderId="5" applyNumberFormat="0" applyFo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5" fillId="0" borderId="0" applyNumberFormat="0" applyFont="0" applyFill="0" applyAlignment="0" applyProtection="0"/>
    <xf numFmtId="0" fontId="16" fillId="0" borderId="0" applyNumberFormat="0" applyFont="0" applyFill="0" applyAlignment="0" applyProtection="0"/>
    <xf numFmtId="0" fontId="17" fillId="0" borderId="0" applyNumberFormat="0" applyFont="0" applyFill="0" applyAlignment="0" applyProtection="0"/>
    <xf numFmtId="0" fontId="18" fillId="0" borderId="6" applyNumberFormat="0" applyFont="0" applyAlignment="0" applyProtection="0"/>
    <xf numFmtId="0" fontId="19" fillId="0" borderId="7" applyNumberFormat="0" applyFont="0" applyAlignment="0" applyProtection="0"/>
    <xf numFmtId="0" fontId="20" fillId="0" borderId="6" applyNumberFormat="0" applyFont="0" applyAlignment="0" applyProtection="0"/>
    <xf numFmtId="0" fontId="20" fillId="0" borderId="0" applyNumberFormat="0" applyFont="0" applyFill="0" applyAlignment="0" applyProtection="0"/>
    <xf numFmtId="0" fontId="21" fillId="0" borderId="8" applyNumberFormat="0" applyFont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3" fillId="0" borderId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465">
    <xf numFmtId="0" fontId="0" fillId="0" borderId="0" xfId="0"/>
    <xf numFmtId="0" fontId="21" fillId="0" borderId="9" xfId="4" applyFont="1" applyFill="1" applyBorder="1" applyAlignment="1">
      <alignment horizontal="right" vertical="center" wrapText="1"/>
    </xf>
    <xf numFmtId="49" fontId="21" fillId="0" borderId="27" xfId="60" applyNumberFormat="1" applyFont="1" applyFill="1" applyBorder="1" applyAlignment="1">
      <alignment horizontal="right" vertical="center"/>
    </xf>
    <xf numFmtId="0" fontId="5" fillId="0" borderId="0" xfId="4" applyFont="1"/>
    <xf numFmtId="0" fontId="24" fillId="0" borderId="0" xfId="4" applyFont="1" applyFill="1"/>
    <xf numFmtId="0" fontId="5" fillId="0" borderId="11" xfId="4" applyFont="1" applyFill="1" applyBorder="1" applyAlignment="1">
      <alignment horizontal="center" vertical="center" wrapText="1"/>
    </xf>
    <xf numFmtId="4" fontId="5" fillId="0" borderId="12" xfId="47" applyNumberFormat="1" applyFont="1" applyFill="1" applyBorder="1" applyAlignment="1">
      <alignment horizontal="right" vertical="center" wrapText="1"/>
    </xf>
    <xf numFmtId="0" fontId="5" fillId="0" borderId="11" xfId="4" applyFont="1" applyFill="1" applyBorder="1" applyAlignment="1">
      <alignment horizontal="center" vertical="center"/>
    </xf>
    <xf numFmtId="0" fontId="5" fillId="0" borderId="9" xfId="4" applyFont="1" applyFill="1" applyBorder="1" applyAlignment="1">
      <alignment horizontal="justify" vertical="center" wrapText="1"/>
    </xf>
    <xf numFmtId="0" fontId="5" fillId="18" borderId="9" xfId="4" applyFont="1" applyFill="1" applyBorder="1" applyAlignment="1">
      <alignment vertical="center" wrapText="1"/>
    </xf>
    <xf numFmtId="0" fontId="5" fillId="0" borderId="0" xfId="4" applyFont="1" applyFill="1" applyAlignment="1">
      <alignment horizontal="center"/>
    </xf>
    <xf numFmtId="0" fontId="5" fillId="0" borderId="0" xfId="4" applyFont="1" applyFill="1"/>
    <xf numFmtId="166" fontId="5" fillId="18" borderId="9" xfId="47" applyFont="1" applyFill="1" applyBorder="1" applyAlignment="1">
      <alignment horizontal="center" vertical="center"/>
    </xf>
    <xf numFmtId="166" fontId="5" fillId="18" borderId="10" xfId="59" applyFont="1" applyFill="1" applyBorder="1" applyAlignment="1">
      <alignment horizontal="center" vertical="center"/>
    </xf>
    <xf numFmtId="0" fontId="5" fillId="18" borderId="9" xfId="4" applyFont="1" applyFill="1" applyBorder="1" applyAlignment="1">
      <alignment horizontal="center" vertical="center" wrapText="1"/>
    </xf>
    <xf numFmtId="0" fontId="28" fillId="19" borderId="9" xfId="4" applyFont="1" applyFill="1" applyBorder="1" applyAlignment="1">
      <alignment horizontal="center" vertical="center" wrapText="1"/>
    </xf>
    <xf numFmtId="170" fontId="5" fillId="18" borderId="10" xfId="59" applyNumberFormat="1" applyFont="1" applyFill="1" applyBorder="1" applyAlignment="1">
      <alignment horizontal="center" vertical="center"/>
    </xf>
    <xf numFmtId="166" fontId="5" fillId="18" borderId="10" xfId="59" applyNumberFormat="1" applyFont="1" applyFill="1" applyBorder="1" applyAlignment="1">
      <alignment horizontal="center" vertical="center"/>
    </xf>
    <xf numFmtId="0" fontId="2" fillId="0" borderId="0" xfId="0" applyFont="1"/>
    <xf numFmtId="0" fontId="23" fillId="19" borderId="9" xfId="4" applyFont="1" applyFill="1" applyBorder="1" applyAlignment="1">
      <alignment horizontal="center" vertical="center" wrapText="1"/>
    </xf>
    <xf numFmtId="0" fontId="28" fillId="19" borderId="9" xfId="4" applyFont="1" applyFill="1" applyBorder="1" applyAlignment="1">
      <alignment horizontal="justify" vertical="center" wrapText="1"/>
    </xf>
    <xf numFmtId="4" fontId="25" fillId="19" borderId="9" xfId="1" applyNumberFormat="1" applyFont="1" applyFill="1" applyBorder="1" applyAlignment="1">
      <alignment vertical="center" wrapText="1"/>
    </xf>
    <xf numFmtId="165" fontId="26" fillId="19" borderId="9" xfId="1" applyNumberFormat="1" applyFont="1" applyFill="1" applyBorder="1" applyAlignment="1">
      <alignment horizontal="center" vertical="center" wrapText="1"/>
    </xf>
    <xf numFmtId="166" fontId="27" fillId="19" borderId="9" xfId="47" applyFont="1" applyFill="1" applyBorder="1" applyAlignment="1">
      <alignment horizontal="right" vertical="center"/>
    </xf>
    <xf numFmtId="0" fontId="24" fillId="19" borderId="9" xfId="43" applyFont="1" applyFill="1" applyBorder="1" applyAlignment="1">
      <alignment vertical="center"/>
    </xf>
    <xf numFmtId="169" fontId="24" fillId="19" borderId="9" xfId="38" applyNumberFormat="1" applyFont="1" applyFill="1" applyBorder="1" applyAlignment="1">
      <alignment horizontal="right" vertical="center"/>
    </xf>
    <xf numFmtId="0" fontId="5" fillId="0" borderId="9" xfId="4" applyFont="1" applyFill="1" applyBorder="1" applyAlignment="1">
      <alignment horizontal="center" vertical="center" wrapText="1"/>
    </xf>
    <xf numFmtId="0" fontId="0" fillId="0" borderId="9" xfId="0" applyBorder="1"/>
    <xf numFmtId="0" fontId="5" fillId="0" borderId="9" xfId="4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horizontal="center" vertical="center"/>
    </xf>
    <xf numFmtId="4" fontId="5" fillId="0" borderId="9" xfId="47" applyNumberFormat="1" applyFont="1" applyFill="1" applyBorder="1" applyAlignment="1">
      <alignment horizontal="right" vertical="center" wrapText="1"/>
    </xf>
    <xf numFmtId="0" fontId="26" fillId="19" borderId="9" xfId="4" applyFont="1" applyFill="1" applyBorder="1" applyAlignment="1">
      <alignment horizontal="center" vertical="center" wrapText="1"/>
    </xf>
    <xf numFmtId="0" fontId="21" fillId="0" borderId="9" xfId="4" applyFont="1" applyFill="1" applyBorder="1" applyAlignment="1">
      <alignment horizontal="justify" vertical="center" wrapText="1"/>
    </xf>
    <xf numFmtId="168" fontId="21" fillId="0" borderId="9" xfId="2" applyNumberFormat="1" applyFont="1" applyFill="1" applyBorder="1" applyAlignment="1">
      <alignment horizontal="right" vertical="center" wrapText="1"/>
    </xf>
    <xf numFmtId="4" fontId="24" fillId="0" borderId="9" xfId="47" applyNumberFormat="1" applyFont="1" applyFill="1" applyBorder="1" applyAlignment="1">
      <alignment horizontal="right" vertical="center" wrapText="1"/>
    </xf>
    <xf numFmtId="0" fontId="5" fillId="0" borderId="9" xfId="4" quotePrefix="1" applyFont="1" applyFill="1" applyBorder="1" applyAlignment="1">
      <alignment horizontal="center" vertical="center"/>
    </xf>
    <xf numFmtId="4" fontId="21" fillId="0" borderId="9" xfId="2" applyNumberFormat="1" applyFont="1" applyFill="1" applyBorder="1" applyAlignment="1">
      <alignment horizontal="left" vertical="center" wrapText="1"/>
    </xf>
    <xf numFmtId="4" fontId="24" fillId="19" borderId="9" xfId="4" applyNumberFormat="1" applyFont="1" applyFill="1" applyBorder="1" applyAlignment="1">
      <alignment vertical="center" wrapText="1"/>
    </xf>
    <xf numFmtId="4" fontId="21" fillId="19" borderId="9" xfId="47" applyNumberFormat="1" applyFont="1" applyFill="1" applyBorder="1" applyAlignment="1">
      <alignment horizontal="right" vertical="center" wrapText="1"/>
    </xf>
    <xf numFmtId="4" fontId="5" fillId="18" borderId="9" xfId="2" applyNumberFormat="1" applyFont="1" applyFill="1" applyBorder="1" applyAlignment="1">
      <alignment vertical="center" wrapText="1"/>
    </xf>
    <xf numFmtId="4" fontId="21" fillId="18" borderId="9" xfId="2" applyNumberFormat="1" applyFont="1" applyFill="1" applyBorder="1" applyAlignment="1">
      <alignment vertical="center" wrapText="1"/>
    </xf>
    <xf numFmtId="0" fontId="24" fillId="0" borderId="9" xfId="43" applyFont="1" applyFill="1" applyBorder="1" applyAlignment="1">
      <alignment vertical="center"/>
    </xf>
    <xf numFmtId="0" fontId="5" fillId="0" borderId="9" xfId="43" applyFont="1" applyFill="1" applyBorder="1" applyAlignment="1">
      <alignment vertical="center"/>
    </xf>
    <xf numFmtId="4" fontId="5" fillId="0" borderId="9" xfId="47" applyNumberFormat="1" applyFont="1" applyFill="1" applyBorder="1" applyAlignment="1">
      <alignment horizontal="right" vertical="center"/>
    </xf>
    <xf numFmtId="4" fontId="24" fillId="0" borderId="9" xfId="4" applyNumberFormat="1" applyFont="1" applyFill="1" applyBorder="1" applyAlignment="1">
      <alignment vertical="center" wrapText="1"/>
    </xf>
    <xf numFmtId="167" fontId="21" fillId="0" borderId="9" xfId="2" applyNumberFormat="1" applyFont="1" applyFill="1" applyBorder="1" applyAlignment="1">
      <alignment horizontal="right" vertical="center" wrapText="1"/>
    </xf>
    <xf numFmtId="44" fontId="21" fillId="19" borderId="9" xfId="3" applyFont="1" applyFill="1" applyBorder="1" applyAlignment="1">
      <alignment horizontal="right" vertical="center" wrapText="1"/>
    </xf>
    <xf numFmtId="10" fontId="21" fillId="18" borderId="9" xfId="2" applyNumberFormat="1" applyFont="1" applyFill="1" applyBorder="1" applyAlignment="1">
      <alignment horizontal="right" vertical="center" wrapText="1"/>
    </xf>
    <xf numFmtId="4" fontId="5" fillId="18" borderId="9" xfId="47" applyNumberFormat="1" applyFont="1" applyFill="1" applyBorder="1" applyAlignment="1">
      <alignment horizontal="right" vertical="center" wrapText="1"/>
    </xf>
    <xf numFmtId="44" fontId="26" fillId="19" borderId="9" xfId="3" applyFont="1" applyFill="1" applyBorder="1" applyAlignment="1">
      <alignment horizontal="right" vertical="center" wrapText="1"/>
    </xf>
    <xf numFmtId="2" fontId="5" fillId="0" borderId="9" xfId="4" applyNumberFormat="1" applyFont="1" applyFill="1" applyBorder="1" applyAlignment="1">
      <alignment horizontal="center" vertical="center" wrapText="1"/>
    </xf>
    <xf numFmtId="2" fontId="5" fillId="0" borderId="9" xfId="4" applyNumberFormat="1" applyFont="1" applyFill="1" applyBorder="1" applyAlignment="1">
      <alignment horizontal="justify" vertical="center" wrapText="1"/>
    </xf>
    <xf numFmtId="4" fontId="21" fillId="0" borderId="9" xfId="2" applyNumberFormat="1" applyFont="1" applyFill="1" applyBorder="1" applyAlignment="1">
      <alignment horizontal="right" vertical="center" wrapText="1"/>
    </xf>
    <xf numFmtId="166" fontId="5" fillId="0" borderId="9" xfId="47" applyFont="1" applyFill="1" applyBorder="1" applyAlignment="1">
      <alignment vertical="center" wrapText="1"/>
    </xf>
    <xf numFmtId="4" fontId="24" fillId="0" borderId="9" xfId="2" applyNumberFormat="1" applyFont="1" applyFill="1" applyBorder="1" applyAlignment="1">
      <alignment horizontal="right" vertical="center" wrapText="1"/>
    </xf>
    <xf numFmtId="0" fontId="21" fillId="18" borderId="13" xfId="40" applyFont="1" applyFill="1" applyBorder="1" applyAlignment="1">
      <alignment vertical="center"/>
    </xf>
    <xf numFmtId="0" fontId="21" fillId="18" borderId="14" xfId="40" applyFont="1" applyFill="1" applyBorder="1" applyAlignment="1">
      <alignment vertical="center"/>
    </xf>
    <xf numFmtId="166" fontId="5" fillId="18" borderId="14" xfId="59" applyFont="1" applyFill="1" applyBorder="1" applyAlignment="1">
      <alignment horizontal="center" vertical="center" wrapText="1"/>
    </xf>
    <xf numFmtId="166" fontId="5" fillId="18" borderId="14" xfId="59" applyFont="1" applyFill="1" applyBorder="1" applyAlignment="1">
      <alignment vertical="center" wrapText="1"/>
    </xf>
    <xf numFmtId="0" fontId="5" fillId="18" borderId="15" xfId="40" applyFont="1" applyFill="1" applyBorder="1" applyAlignment="1">
      <alignment vertical="center" wrapText="1"/>
    </xf>
    <xf numFmtId="0" fontId="3" fillId="0" borderId="0" xfId="60"/>
    <xf numFmtId="0" fontId="21" fillId="18" borderId="18" xfId="40" applyFont="1" applyFill="1" applyBorder="1" applyAlignment="1">
      <alignment vertical="center"/>
    </xf>
    <xf numFmtId="0" fontId="21" fillId="18" borderId="19" xfId="40" applyFont="1" applyFill="1" applyBorder="1" applyAlignment="1">
      <alignment vertical="center"/>
    </xf>
    <xf numFmtId="166" fontId="21" fillId="20" borderId="19" xfId="59" applyFont="1" applyFill="1" applyBorder="1" applyAlignment="1">
      <alignment vertical="center" wrapText="1"/>
    </xf>
    <xf numFmtId="166" fontId="21" fillId="18" borderId="19" xfId="59" applyFont="1" applyFill="1" applyBorder="1" applyAlignment="1">
      <alignment vertical="center" wrapText="1"/>
    </xf>
    <xf numFmtId="0" fontId="5" fillId="18" borderId="20" xfId="40" applyFont="1" applyFill="1" applyBorder="1" applyAlignment="1">
      <alignment vertical="center" wrapText="1"/>
    </xf>
    <xf numFmtId="0" fontId="21" fillId="0" borderId="0" xfId="40" applyFont="1" applyFill="1" applyBorder="1" applyAlignment="1">
      <alignment horizontal="center"/>
    </xf>
    <xf numFmtId="0" fontId="21" fillId="0" borderId="0" xfId="40" applyFont="1" applyFill="1" applyBorder="1" applyAlignment="1">
      <alignment horizontal="left" vertical="center"/>
    </xf>
    <xf numFmtId="0" fontId="21" fillId="0" borderId="0" xfId="40" applyFont="1" applyFill="1" applyBorder="1" applyAlignment="1">
      <alignment horizontal="center" vertical="center"/>
    </xf>
    <xf numFmtId="166" fontId="21" fillId="0" borderId="0" xfId="59" applyFont="1" applyFill="1" applyBorder="1" applyAlignment="1">
      <alignment horizontal="center" vertical="center"/>
    </xf>
    <xf numFmtId="166" fontId="21" fillId="0" borderId="0" xfId="59" applyFont="1" applyFill="1" applyBorder="1" applyAlignment="1">
      <alignment vertical="center"/>
    </xf>
    <xf numFmtId="43" fontId="21" fillId="0" borderId="0" xfId="40" applyNumberFormat="1" applyFont="1" applyFill="1" applyBorder="1" applyAlignment="1">
      <alignment vertical="center"/>
    </xf>
    <xf numFmtId="49" fontId="21" fillId="21" borderId="21" xfId="40" applyNumberFormat="1" applyFont="1" applyFill="1" applyBorder="1" applyAlignment="1">
      <alignment horizontal="center" vertical="center"/>
    </xf>
    <xf numFmtId="49" fontId="21" fillId="21" borderId="21" xfId="40" applyNumberFormat="1" applyFont="1" applyFill="1" applyBorder="1" applyAlignment="1">
      <alignment horizontal="left" vertical="center"/>
    </xf>
    <xf numFmtId="166" fontId="21" fillId="21" borderId="22" xfId="59" applyFont="1" applyFill="1" applyBorder="1" applyAlignment="1">
      <alignment horizontal="center" vertical="center"/>
    </xf>
    <xf numFmtId="4" fontId="21" fillId="21" borderId="21" xfId="40" applyNumberFormat="1" applyFont="1" applyFill="1" applyBorder="1" applyAlignment="1">
      <alignment horizontal="center" vertical="center" wrapText="1"/>
    </xf>
    <xf numFmtId="0" fontId="5" fillId="0" borderId="16" xfId="60" applyFont="1" applyBorder="1" applyAlignment="1">
      <alignment vertical="center"/>
    </xf>
    <xf numFmtId="0" fontId="5" fillId="0" borderId="0" xfId="60" applyFont="1" applyBorder="1" applyAlignment="1">
      <alignment vertical="center"/>
    </xf>
    <xf numFmtId="0" fontId="5" fillId="0" borderId="0" xfId="60" applyFont="1" applyBorder="1" applyAlignment="1">
      <alignment horizontal="left" vertical="center"/>
    </xf>
    <xf numFmtId="0" fontId="3" fillId="0" borderId="0" xfId="60" applyBorder="1"/>
    <xf numFmtId="166" fontId="5" fillId="0" borderId="0" xfId="59" applyFont="1" applyBorder="1" applyAlignment="1">
      <alignment horizontal="center" vertical="center"/>
    </xf>
    <xf numFmtId="166" fontId="5" fillId="0" borderId="0" xfId="59" applyFont="1" applyBorder="1" applyAlignment="1">
      <alignment vertical="center"/>
    </xf>
    <xf numFmtId="166" fontId="5" fillId="0" borderId="17" xfId="59" applyFont="1" applyBorder="1" applyAlignment="1">
      <alignment vertical="center"/>
    </xf>
    <xf numFmtId="0" fontId="21" fillId="22" borderId="23" xfId="40" applyFont="1" applyFill="1" applyBorder="1" applyAlignment="1">
      <alignment horizontal="center" vertical="center"/>
    </xf>
    <xf numFmtId="0" fontId="21" fillId="22" borderId="9" xfId="40" applyFont="1" applyFill="1" applyBorder="1" applyAlignment="1">
      <alignment horizontal="center"/>
    </xf>
    <xf numFmtId="0" fontId="21" fillId="22" borderId="9" xfId="40" applyFont="1" applyFill="1" applyBorder="1" applyAlignment="1">
      <alignment vertical="center"/>
    </xf>
    <xf numFmtId="166" fontId="21" fillId="22" borderId="9" xfId="59" applyFont="1" applyFill="1" applyBorder="1" applyAlignment="1">
      <alignment vertical="center"/>
    </xf>
    <xf numFmtId="0" fontId="21" fillId="22" borderId="24" xfId="40" applyFont="1" applyFill="1" applyBorder="1" applyAlignment="1">
      <alignment vertical="center"/>
    </xf>
    <xf numFmtId="0" fontId="5" fillId="0" borderId="9" xfId="40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horizontal="right" vertical="center"/>
    </xf>
    <xf numFmtId="166" fontId="5" fillId="0" borderId="24" xfId="59" applyFont="1" applyBorder="1" applyAlignment="1">
      <alignment horizontal="right" vertical="center"/>
    </xf>
    <xf numFmtId="0" fontId="5" fillId="0" borderId="9" xfId="40" applyFont="1" applyFill="1" applyBorder="1" applyAlignment="1">
      <alignment horizontal="center" vertical="center" wrapText="1"/>
    </xf>
    <xf numFmtId="0" fontId="5" fillId="0" borderId="9" xfId="40" applyFont="1" applyFill="1" applyBorder="1" applyAlignment="1">
      <alignment horizontal="left" vertical="center" wrapText="1"/>
    </xf>
    <xf numFmtId="0" fontId="5" fillId="0" borderId="16" xfId="60" applyFont="1" applyBorder="1" applyAlignment="1">
      <alignment horizontal="left" vertical="center" wrapText="1"/>
    </xf>
    <xf numFmtId="0" fontId="5" fillId="0" borderId="0" xfId="60" applyFont="1" applyBorder="1" applyAlignment="1">
      <alignment horizontal="left" vertical="center" wrapText="1"/>
    </xf>
    <xf numFmtId="0" fontId="5" fillId="0" borderId="0" xfId="60" applyFont="1" applyBorder="1" applyAlignment="1">
      <alignment horizontal="center" vertical="center"/>
    </xf>
    <xf numFmtId="4" fontId="5" fillId="0" borderId="0" xfId="59" applyNumberFormat="1" applyFont="1" applyFill="1" applyBorder="1" applyAlignment="1">
      <alignment horizontal="right" vertical="center"/>
    </xf>
    <xf numFmtId="166" fontId="5" fillId="0" borderId="0" xfId="59" applyFont="1" applyBorder="1" applyAlignment="1">
      <alignment horizontal="right" vertical="center"/>
    </xf>
    <xf numFmtId="166" fontId="5" fillId="0" borderId="17" xfId="59" applyFont="1" applyBorder="1" applyAlignment="1">
      <alignment horizontal="right" vertical="center"/>
    </xf>
    <xf numFmtId="0" fontId="5" fillId="0" borderId="23" xfId="60" applyFont="1" applyFill="1" applyBorder="1" applyAlignment="1">
      <alignment horizontal="center" vertical="center" wrapText="1"/>
    </xf>
    <xf numFmtId="166" fontId="5" fillId="18" borderId="9" xfId="61" applyFont="1" applyFill="1" applyBorder="1" applyAlignment="1">
      <alignment horizontal="right" vertical="center"/>
    </xf>
    <xf numFmtId="166" fontId="5" fillId="18" borderId="25" xfId="59" applyFont="1" applyFill="1" applyBorder="1" applyAlignment="1">
      <alignment horizontal="right" vertical="center"/>
    </xf>
    <xf numFmtId="0" fontId="5" fillId="0" borderId="0" xfId="60" applyFont="1" applyFill="1" applyAlignment="1">
      <alignment vertical="center"/>
    </xf>
    <xf numFmtId="166" fontId="5" fillId="18" borderId="10" xfId="61" applyFont="1" applyFill="1" applyBorder="1" applyAlignment="1">
      <alignment horizontal="right" vertical="center"/>
    </xf>
    <xf numFmtId="0" fontId="5" fillId="0" borderId="23" xfId="40" applyFont="1" applyFill="1" applyBorder="1" applyAlignment="1">
      <alignment horizontal="center" vertical="center"/>
    </xf>
    <xf numFmtId="0" fontId="5" fillId="0" borderId="9" xfId="40" applyFont="1" applyFill="1" applyBorder="1" applyAlignment="1">
      <alignment horizontal="left" vertical="center"/>
    </xf>
    <xf numFmtId="166" fontId="5" fillId="18" borderId="9" xfId="61" applyFont="1" applyFill="1" applyBorder="1" applyAlignment="1">
      <alignment vertical="center"/>
    </xf>
    <xf numFmtId="0" fontId="2" fillId="0" borderId="0" xfId="0" applyFont="1" applyBorder="1"/>
    <xf numFmtId="0" fontId="5" fillId="0" borderId="9" xfId="60" applyFont="1" applyBorder="1" applyAlignment="1">
      <alignment horizontal="center" vertical="center" wrapText="1"/>
    </xf>
    <xf numFmtId="0" fontId="21" fillId="0" borderId="0" xfId="60" applyFont="1" applyBorder="1"/>
    <xf numFmtId="0" fontId="21" fillId="21" borderId="9" xfId="40" applyFont="1" applyFill="1" applyBorder="1" applyAlignment="1">
      <alignment vertical="center"/>
    </xf>
    <xf numFmtId="0" fontId="5" fillId="0" borderId="23" xfId="60" applyFont="1" applyFill="1" applyBorder="1" applyAlignment="1">
      <alignment vertical="center"/>
    </xf>
    <xf numFmtId="0" fontId="21" fillId="0" borderId="9" xfId="40" applyFont="1" applyFill="1" applyBorder="1" applyAlignment="1">
      <alignment horizontal="center" vertical="center"/>
    </xf>
    <xf numFmtId="0" fontId="21" fillId="0" borderId="9" xfId="40" applyFont="1" applyFill="1" applyBorder="1" applyAlignment="1">
      <alignment vertical="center" wrapText="1"/>
    </xf>
    <xf numFmtId="0" fontId="5" fillId="0" borderId="9" xfId="40" applyFont="1" applyFill="1" applyBorder="1" applyAlignment="1">
      <alignment vertical="center"/>
    </xf>
    <xf numFmtId="166" fontId="5" fillId="0" borderId="9" xfId="59" applyFont="1" applyFill="1" applyBorder="1" applyAlignment="1">
      <alignment vertical="center"/>
    </xf>
    <xf numFmtId="0" fontId="5" fillId="0" borderId="24" xfId="40" applyFont="1" applyFill="1" applyBorder="1" applyAlignment="1">
      <alignment vertical="center"/>
    </xf>
    <xf numFmtId="0" fontId="5" fillId="18" borderId="0" xfId="60" applyFont="1" applyFill="1" applyAlignment="1">
      <alignment vertical="center"/>
    </xf>
    <xf numFmtId="166" fontId="5" fillId="18" borderId="9" xfId="61" applyFont="1" applyFill="1" applyBorder="1" applyAlignment="1">
      <alignment horizontal="right" vertical="center" wrapText="1"/>
    </xf>
    <xf numFmtId="0" fontId="3" fillId="18" borderId="0" xfId="60" applyFill="1"/>
    <xf numFmtId="0" fontId="5" fillId="0" borderId="9" xfId="60" applyFont="1" applyFill="1" applyBorder="1" applyAlignment="1">
      <alignment horizontal="center" vertical="center"/>
    </xf>
    <xf numFmtId="166" fontId="5" fillId="18" borderId="10" xfId="62" applyFont="1" applyFill="1" applyBorder="1" applyAlignment="1">
      <alignment horizontal="right" vertical="center"/>
    </xf>
    <xf numFmtId="0" fontId="21" fillId="0" borderId="16" xfId="60" applyFont="1" applyFill="1" applyBorder="1" applyAlignment="1">
      <alignment horizontal="right" vertical="center" wrapText="1"/>
    </xf>
    <xf numFmtId="0" fontId="21" fillId="0" borderId="0" xfId="60" applyFont="1" applyFill="1" applyBorder="1" applyAlignment="1">
      <alignment horizontal="right" vertical="center" wrapText="1"/>
    </xf>
    <xf numFmtId="0" fontId="21" fillId="0" borderId="17" xfId="60" applyFont="1" applyFill="1" applyBorder="1" applyAlignment="1">
      <alignment horizontal="right" vertical="center" wrapText="1"/>
    </xf>
    <xf numFmtId="43" fontId="5" fillId="0" borderId="0" xfId="60" applyNumberFormat="1" applyFont="1" applyAlignment="1">
      <alignment vertical="center"/>
    </xf>
    <xf numFmtId="0" fontId="5" fillId="18" borderId="9" xfId="40" applyFont="1" applyFill="1" applyBorder="1" applyAlignment="1">
      <alignment horizontal="center" vertical="center"/>
    </xf>
    <xf numFmtId="166" fontId="5" fillId="18" borderId="9" xfId="59" applyFont="1" applyFill="1" applyBorder="1" applyAlignment="1">
      <alignment vertical="center"/>
    </xf>
    <xf numFmtId="44" fontId="21" fillId="18" borderId="24" xfId="3" applyFont="1" applyFill="1" applyBorder="1" applyAlignment="1">
      <alignment horizontal="right" vertical="center" wrapText="1"/>
    </xf>
    <xf numFmtId="2" fontId="5" fillId="18" borderId="9" xfId="60" applyNumberFormat="1" applyFont="1" applyFill="1" applyBorder="1" applyAlignment="1">
      <alignment horizontal="right" vertical="center" wrapText="1"/>
    </xf>
    <xf numFmtId="0" fontId="5" fillId="18" borderId="9" xfId="60" applyFont="1" applyFill="1" applyBorder="1" applyAlignment="1">
      <alignment horizontal="right" vertical="center" wrapText="1"/>
    </xf>
    <xf numFmtId="0" fontId="30" fillId="23" borderId="26" xfId="0" applyFont="1" applyFill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0" fillId="18" borderId="26" xfId="0" applyFont="1" applyFill="1" applyBorder="1" applyAlignment="1">
      <alignment horizontal="left" vertical="center" wrapText="1"/>
    </xf>
    <xf numFmtId="0" fontId="21" fillId="21" borderId="9" xfId="40" applyFont="1" applyFill="1" applyBorder="1" applyAlignment="1">
      <alignment vertical="center" wrapText="1"/>
    </xf>
    <xf numFmtId="0" fontId="5" fillId="18" borderId="9" xfId="0" applyFont="1" applyFill="1" applyBorder="1" applyAlignment="1">
      <alignment horizontal="center" vertical="center" wrapText="1"/>
    </xf>
    <xf numFmtId="0" fontId="5" fillId="18" borderId="9" xfId="0" applyNumberFormat="1" applyFont="1" applyFill="1" applyBorder="1" applyAlignment="1">
      <alignment horizontal="center" vertical="center" wrapText="1"/>
    </xf>
    <xf numFmtId="0" fontId="5" fillId="18" borderId="9" xfId="0" applyFont="1" applyFill="1" applyBorder="1" applyAlignment="1">
      <alignment horizontal="justify" vertical="center" wrapText="1"/>
    </xf>
    <xf numFmtId="0" fontId="0" fillId="0" borderId="0" xfId="0" applyBorder="1"/>
    <xf numFmtId="44" fontId="0" fillId="18" borderId="0" xfId="0" applyNumberFormat="1" applyFill="1"/>
    <xf numFmtId="44" fontId="21" fillId="19" borderId="30" xfId="3" applyFont="1" applyFill="1" applyBorder="1" applyAlignment="1">
      <alignment horizontal="right" vertical="center"/>
    </xf>
    <xf numFmtId="166" fontId="5" fillId="0" borderId="0" xfId="59" applyFont="1" applyFill="1" applyAlignment="1">
      <alignment horizontal="right" vertical="center"/>
    </xf>
    <xf numFmtId="166" fontId="5" fillId="0" borderId="0" xfId="59" applyFont="1" applyAlignment="1">
      <alignment horizontal="right" vertical="center"/>
    </xf>
    <xf numFmtId="0" fontId="5" fillId="0" borderId="0" xfId="60" applyFont="1" applyAlignment="1">
      <alignment vertical="center"/>
    </xf>
    <xf numFmtId="166" fontId="5" fillId="18" borderId="0" xfId="59" applyFont="1" applyFill="1" applyAlignment="1">
      <alignment horizontal="right" vertical="center"/>
    </xf>
    <xf numFmtId="0" fontId="5" fillId="0" borderId="0" xfId="60" applyFont="1" applyAlignment="1">
      <alignment horizontal="left" vertical="center" wrapText="1"/>
    </xf>
    <xf numFmtId="0" fontId="5" fillId="18" borderId="0" xfId="60" applyFont="1" applyFill="1" applyAlignment="1">
      <alignment horizontal="center" vertical="center"/>
    </xf>
    <xf numFmtId="0" fontId="21" fillId="22" borderId="9" xfId="40" applyFont="1" applyFill="1" applyBorder="1" applyAlignment="1">
      <alignment vertical="center" wrapText="1"/>
    </xf>
    <xf numFmtId="44" fontId="21" fillId="20" borderId="24" xfId="3" applyFont="1" applyFill="1" applyBorder="1" applyAlignment="1">
      <alignment horizontal="right" vertical="center" wrapText="1"/>
    </xf>
    <xf numFmtId="0" fontId="5" fillId="18" borderId="25" xfId="0" applyFont="1" applyFill="1" applyBorder="1" applyAlignment="1">
      <alignment horizontal="left" vertical="center" wrapText="1"/>
    </xf>
    <xf numFmtId="166" fontId="5" fillId="18" borderId="10" xfId="59" applyFont="1" applyFill="1" applyBorder="1" applyAlignment="1">
      <alignment vertical="center"/>
    </xf>
    <xf numFmtId="0" fontId="5" fillId="18" borderId="23" xfId="40" applyFont="1" applyFill="1" applyBorder="1" applyAlignment="1">
      <alignment horizontal="center" vertical="center"/>
    </xf>
    <xf numFmtId="0" fontId="21" fillId="21" borderId="9" xfId="0" applyFont="1" applyFill="1" applyBorder="1" applyAlignment="1">
      <alignment horizontal="center" vertical="center" wrapText="1"/>
    </xf>
    <xf numFmtId="0" fontId="21" fillId="21" borderId="9" xfId="40" applyNumberFormat="1" applyFont="1" applyFill="1" applyBorder="1" applyAlignment="1">
      <alignment horizontal="center" vertical="center" wrapText="1"/>
    </xf>
    <xf numFmtId="0" fontId="21" fillId="21" borderId="9" xfId="0" applyFont="1" applyFill="1" applyBorder="1" applyAlignment="1">
      <alignment horizontal="right" vertical="center" wrapText="1"/>
    </xf>
    <xf numFmtId="171" fontId="21" fillId="21" borderId="9" xfId="40" applyNumberFormat="1" applyFont="1" applyFill="1" applyBorder="1" applyAlignment="1">
      <alignment vertical="center" wrapText="1"/>
    </xf>
    <xf numFmtId="171" fontId="21" fillId="21" borderId="9" xfId="40" quotePrefix="1" applyNumberFormat="1" applyFont="1" applyFill="1" applyBorder="1" applyAlignment="1">
      <alignment horizontal="center" vertical="center"/>
    </xf>
    <xf numFmtId="166" fontId="21" fillId="21" borderId="9" xfId="48" quotePrefix="1" applyFont="1" applyFill="1" applyBorder="1" applyAlignment="1">
      <alignment horizontal="right" vertical="center"/>
    </xf>
    <xf numFmtId="2" fontId="21" fillId="21" borderId="9" xfId="0" applyNumberFormat="1" applyFont="1" applyFill="1" applyBorder="1" applyAlignment="1">
      <alignment horizontal="right" vertical="center" wrapText="1"/>
    </xf>
    <xf numFmtId="4" fontId="21" fillId="21" borderId="9" xfId="48" applyNumberFormat="1" applyFont="1" applyFill="1" applyBorder="1" applyAlignment="1">
      <alignment horizontal="right" vertical="center"/>
    </xf>
    <xf numFmtId="0" fontId="5" fillId="18" borderId="9" xfId="40" applyFont="1" applyFill="1" applyBorder="1" applyAlignment="1">
      <alignment vertical="center"/>
    </xf>
    <xf numFmtId="0" fontId="5" fillId="18" borderId="9" xfId="40" applyFont="1" applyFill="1" applyBorder="1" applyAlignment="1">
      <alignment horizontal="center"/>
    </xf>
    <xf numFmtId="0" fontId="5" fillId="18" borderId="9" xfId="40" applyFont="1" applyFill="1" applyBorder="1" applyAlignment="1">
      <alignment horizontal="center" wrapText="1"/>
    </xf>
    <xf numFmtId="0" fontId="5" fillId="18" borderId="9" xfId="40" applyFont="1" applyFill="1" applyBorder="1" applyAlignment="1">
      <alignment vertical="center" wrapText="1"/>
    </xf>
    <xf numFmtId="0" fontId="0" fillId="0" borderId="16" xfId="0" applyBorder="1"/>
    <xf numFmtId="0" fontId="32" fillId="0" borderId="31" xfId="0" applyFont="1" applyBorder="1" applyAlignment="1">
      <alignment horizontal="center" vertical="center"/>
    </xf>
    <xf numFmtId="0" fontId="32" fillId="18" borderId="32" xfId="0" applyFont="1" applyFill="1" applyBorder="1" applyAlignment="1">
      <alignment vertical="center" wrapText="1"/>
    </xf>
    <xf numFmtId="0" fontId="32" fillId="18" borderId="32" xfId="0" applyFont="1" applyFill="1" applyBorder="1"/>
    <xf numFmtId="0" fontId="32" fillId="0" borderId="32" xfId="0" applyFont="1" applyBorder="1"/>
    <xf numFmtId="4" fontId="32" fillId="18" borderId="32" xfId="0" applyNumberFormat="1" applyFont="1" applyFill="1" applyBorder="1" applyAlignment="1">
      <alignment vertical="center"/>
    </xf>
    <xf numFmtId="10" fontId="32" fillId="0" borderId="33" xfId="64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center" vertical="center"/>
    </xf>
    <xf numFmtId="0" fontId="32" fillId="18" borderId="9" xfId="0" applyFont="1" applyFill="1" applyBorder="1" applyAlignment="1">
      <alignment vertical="center" wrapText="1"/>
    </xf>
    <xf numFmtId="0" fontId="32" fillId="18" borderId="9" xfId="0" applyFont="1" applyFill="1" applyBorder="1"/>
    <xf numFmtId="0" fontId="32" fillId="0" borderId="9" xfId="0" applyFont="1" applyBorder="1"/>
    <xf numFmtId="10" fontId="32" fillId="0" borderId="24" xfId="64" applyNumberFormat="1" applyFont="1" applyBorder="1" applyAlignment="1">
      <alignment horizontal="right" vertical="center"/>
    </xf>
    <xf numFmtId="4" fontId="32" fillId="18" borderId="9" xfId="0" applyNumberFormat="1" applyFont="1" applyFill="1" applyBorder="1" applyAlignment="1">
      <alignment horizontal="right" vertical="center"/>
    </xf>
    <xf numFmtId="0" fontId="32" fillId="0" borderId="9" xfId="0" applyFont="1" applyBorder="1" applyAlignment="1">
      <alignment horizontal="left"/>
    </xf>
    <xf numFmtId="0" fontId="34" fillId="18" borderId="0" xfId="0" applyFont="1" applyFill="1" applyAlignment="1">
      <alignment vertical="center" wrapText="1"/>
    </xf>
    <xf numFmtId="0" fontId="33" fillId="0" borderId="9" xfId="0" applyFont="1" applyBorder="1"/>
    <xf numFmtId="0" fontId="32" fillId="0" borderId="24" xfId="0" applyFont="1" applyBorder="1"/>
    <xf numFmtId="0" fontId="33" fillId="0" borderId="36" xfId="0" applyFont="1" applyBorder="1"/>
    <xf numFmtId="4" fontId="0" fillId="0" borderId="0" xfId="0" applyNumberFormat="1"/>
    <xf numFmtId="0" fontId="0" fillId="18" borderId="0" xfId="0" applyFill="1"/>
    <xf numFmtId="9" fontId="32" fillId="18" borderId="9" xfId="0" applyNumberFormat="1" applyFont="1" applyFill="1" applyBorder="1" applyAlignment="1">
      <alignment horizontal="center" vertical="center"/>
    </xf>
    <xf numFmtId="9" fontId="32" fillId="24" borderId="9" xfId="0" applyNumberFormat="1" applyFont="1" applyFill="1" applyBorder="1" applyAlignment="1">
      <alignment horizontal="center"/>
    </xf>
    <xf numFmtId="4" fontId="33" fillId="0" borderId="9" xfId="0" applyNumberFormat="1" applyFont="1" applyBorder="1"/>
    <xf numFmtId="0" fontId="0" fillId="0" borderId="17" xfId="0" applyBorder="1"/>
    <xf numFmtId="4" fontId="32" fillId="0" borderId="9" xfId="0" applyNumberFormat="1" applyFont="1" applyBorder="1" applyAlignment="1">
      <alignment vertical="center"/>
    </xf>
    <xf numFmtId="0" fontId="32" fillId="0" borderId="9" xfId="0" applyFont="1" applyBorder="1" applyAlignment="1">
      <alignment horizontal="center"/>
    </xf>
    <xf numFmtId="4" fontId="32" fillId="0" borderId="9" xfId="0" applyNumberFormat="1" applyFont="1" applyBorder="1"/>
    <xf numFmtId="10" fontId="33" fillId="0" borderId="24" xfId="64" applyNumberFormat="1" applyFont="1" applyBorder="1" applyAlignment="1">
      <alignment horizontal="right" vertical="center"/>
    </xf>
    <xf numFmtId="0" fontId="0" fillId="0" borderId="24" xfId="0" applyBorder="1"/>
    <xf numFmtId="0" fontId="0" fillId="0" borderId="36" xfId="0" applyBorder="1"/>
    <xf numFmtId="0" fontId="0" fillId="0" borderId="30" xfId="0" applyBorder="1"/>
    <xf numFmtId="0" fontId="32" fillId="0" borderId="40" xfId="0" applyFont="1" applyBorder="1" applyAlignment="1"/>
    <xf numFmtId="0" fontId="32" fillId="0" borderId="42" xfId="0" applyFont="1" applyBorder="1" applyAlignment="1"/>
    <xf numFmtId="0" fontId="32" fillId="0" borderId="41" xfId="0" applyFont="1" applyBorder="1" applyAlignment="1"/>
    <xf numFmtId="0" fontId="32" fillId="0" borderId="40" xfId="0" applyFont="1" applyBorder="1" applyAlignment="1">
      <alignment horizontal="center"/>
    </xf>
    <xf numFmtId="0" fontId="32" fillId="0" borderId="42" xfId="0" applyFont="1" applyBorder="1" applyAlignment="1">
      <alignment horizontal="center"/>
    </xf>
    <xf numFmtId="166" fontId="21" fillId="18" borderId="9" xfId="59" applyFont="1" applyFill="1" applyBorder="1" applyAlignment="1">
      <alignment vertical="center"/>
    </xf>
    <xf numFmtId="166" fontId="5" fillId="18" borderId="25" xfId="59" applyFont="1" applyFill="1" applyBorder="1" applyAlignment="1">
      <alignment vertical="center"/>
    </xf>
    <xf numFmtId="44" fontId="21" fillId="18" borderId="24" xfId="3" applyFont="1" applyFill="1" applyBorder="1" applyAlignment="1">
      <alignment horizontal="left" vertical="center" wrapText="1"/>
    </xf>
    <xf numFmtId="43" fontId="5" fillId="0" borderId="0" xfId="60" applyNumberFormat="1" applyFont="1" applyFill="1" applyAlignment="1">
      <alignment vertical="center"/>
    </xf>
    <xf numFmtId="44" fontId="3" fillId="0" borderId="0" xfId="60" applyNumberFormat="1"/>
    <xf numFmtId="43" fontId="3" fillId="0" borderId="0" xfId="60" applyNumberFormat="1"/>
    <xf numFmtId="44" fontId="21" fillId="18" borderId="17" xfId="3" applyFont="1" applyFill="1" applyBorder="1" applyAlignment="1">
      <alignment horizontal="right" vertical="center" wrapText="1"/>
    </xf>
    <xf numFmtId="0" fontId="21" fillId="21" borderId="23" xfId="0" applyFont="1" applyFill="1" applyBorder="1" applyAlignment="1">
      <alignment horizontal="center" vertical="center" wrapText="1"/>
    </xf>
    <xf numFmtId="4" fontId="21" fillId="21" borderId="24" xfId="48" applyNumberFormat="1" applyFont="1" applyFill="1" applyBorder="1" applyAlignment="1">
      <alignment horizontal="right" vertical="center"/>
    </xf>
    <xf numFmtId="166" fontId="21" fillId="21" borderId="9" xfId="59" applyFont="1" applyFill="1" applyBorder="1" applyAlignment="1">
      <alignment vertical="center"/>
    </xf>
    <xf numFmtId="0" fontId="3" fillId="18" borderId="9" xfId="40" applyFont="1" applyFill="1" applyBorder="1" applyAlignment="1">
      <alignment horizontal="left" vertical="center" wrapText="1"/>
    </xf>
    <xf numFmtId="166" fontId="3" fillId="18" borderId="14" xfId="59" applyFont="1" applyFill="1" applyBorder="1" applyAlignment="1">
      <alignment horizontal="center" vertical="center" wrapText="1"/>
    </xf>
    <xf numFmtId="166" fontId="3" fillId="18" borderId="14" xfId="59" applyFont="1" applyFill="1" applyBorder="1" applyAlignment="1">
      <alignment vertical="center" wrapText="1"/>
    </xf>
    <xf numFmtId="0" fontId="3" fillId="18" borderId="15" xfId="40" applyFont="1" applyFill="1" applyBorder="1" applyAlignment="1">
      <alignment vertical="center" wrapText="1"/>
    </xf>
    <xf numFmtId="0" fontId="3" fillId="18" borderId="20" xfId="40" applyFont="1" applyFill="1" applyBorder="1" applyAlignment="1">
      <alignment vertical="center" wrapText="1"/>
    </xf>
    <xf numFmtId="0" fontId="3" fillId="0" borderId="16" xfId="60" applyFont="1" applyBorder="1" applyAlignment="1">
      <alignment vertical="center"/>
    </xf>
    <xf numFmtId="0" fontId="3" fillId="0" borderId="0" xfId="60" applyFont="1" applyBorder="1" applyAlignment="1">
      <alignment vertical="center"/>
    </xf>
    <xf numFmtId="0" fontId="3" fillId="0" borderId="0" xfId="60" applyFont="1" applyBorder="1" applyAlignment="1">
      <alignment horizontal="left" vertical="center"/>
    </xf>
    <xf numFmtId="0" fontId="3" fillId="0" borderId="0" xfId="60" applyFont="1" applyBorder="1"/>
    <xf numFmtId="166" fontId="3" fillId="0" borderId="0" xfId="59" applyFont="1" applyBorder="1" applyAlignment="1">
      <alignment horizontal="center" vertical="center"/>
    </xf>
    <xf numFmtId="166" fontId="3" fillId="0" borderId="0" xfId="59" applyFont="1" applyBorder="1" applyAlignment="1">
      <alignment vertical="center"/>
    </xf>
    <xf numFmtId="166" fontId="3" fillId="0" borderId="17" xfId="59" applyFont="1" applyBorder="1" applyAlignment="1">
      <alignment vertical="center"/>
    </xf>
    <xf numFmtId="0" fontId="3" fillId="18" borderId="23" xfId="40" applyFont="1" applyFill="1" applyBorder="1" applyAlignment="1">
      <alignment horizontal="center" vertical="center"/>
    </xf>
    <xf numFmtId="0" fontId="3" fillId="18" borderId="9" xfId="40" applyFont="1" applyFill="1" applyBorder="1" applyAlignment="1">
      <alignment horizontal="center" vertical="center"/>
    </xf>
    <xf numFmtId="0" fontId="3" fillId="18" borderId="9" xfId="40" applyFont="1" applyFill="1" applyBorder="1" applyAlignment="1">
      <alignment horizontal="center" vertical="center" wrapText="1"/>
    </xf>
    <xf numFmtId="0" fontId="3" fillId="18" borderId="9" xfId="40" applyFont="1" applyFill="1" applyBorder="1" applyAlignment="1">
      <alignment vertical="center" wrapText="1"/>
    </xf>
    <xf numFmtId="166" fontId="3" fillId="24" borderId="9" xfId="59" applyFont="1" applyFill="1" applyBorder="1" applyAlignment="1">
      <alignment vertical="center"/>
    </xf>
    <xf numFmtId="166" fontId="3" fillId="18" borderId="25" xfId="59" applyFont="1" applyFill="1" applyBorder="1" applyAlignment="1">
      <alignment vertical="center"/>
    </xf>
    <xf numFmtId="166" fontId="3" fillId="18" borderId="24" xfId="59" applyFont="1" applyFill="1" applyBorder="1" applyAlignment="1">
      <alignment horizontal="right" vertical="center"/>
    </xf>
    <xf numFmtId="0" fontId="3" fillId="18" borderId="9" xfId="40" applyFont="1" applyFill="1" applyBorder="1" applyAlignment="1">
      <alignment horizontal="center"/>
    </xf>
    <xf numFmtId="166" fontId="3" fillId="24" borderId="9" xfId="61" applyFont="1" applyFill="1" applyBorder="1" applyAlignment="1">
      <alignment horizontal="right" vertical="center"/>
    </xf>
    <xf numFmtId="166" fontId="3" fillId="18" borderId="25" xfId="59" applyFont="1" applyFill="1" applyBorder="1" applyAlignment="1">
      <alignment horizontal="right" vertical="center"/>
    </xf>
    <xf numFmtId="166" fontId="3" fillId="24" borderId="10" xfId="61" applyFont="1" applyFill="1" applyBorder="1" applyAlignment="1">
      <alignment horizontal="right" vertical="center"/>
    </xf>
    <xf numFmtId="0" fontId="3" fillId="0" borderId="16" xfId="60" applyFont="1" applyBorder="1" applyAlignment="1">
      <alignment horizontal="left" vertical="center" wrapText="1"/>
    </xf>
    <xf numFmtId="0" fontId="3" fillId="0" borderId="0" xfId="60" applyFont="1" applyBorder="1" applyAlignment="1">
      <alignment horizontal="left" vertical="center" wrapText="1"/>
    </xf>
    <xf numFmtId="0" fontId="3" fillId="0" borderId="0" xfId="60" applyFont="1" applyBorder="1" applyAlignment="1">
      <alignment horizontal="center" vertical="center"/>
    </xf>
    <xf numFmtId="4" fontId="3" fillId="0" borderId="0" xfId="59" applyNumberFormat="1" applyFont="1" applyFill="1" applyBorder="1" applyAlignment="1">
      <alignment horizontal="right" vertical="center"/>
    </xf>
    <xf numFmtId="166" fontId="3" fillId="0" borderId="0" xfId="59" applyFont="1" applyBorder="1" applyAlignment="1">
      <alignment horizontal="right" vertical="center"/>
    </xf>
    <xf numFmtId="166" fontId="3" fillId="0" borderId="17" xfId="59" applyFont="1" applyBorder="1" applyAlignment="1">
      <alignment horizontal="right" vertical="center"/>
    </xf>
    <xf numFmtId="0" fontId="3" fillId="18" borderId="9" xfId="40" applyFont="1" applyFill="1" applyBorder="1" applyAlignment="1">
      <alignment horizontal="left" vertical="center"/>
    </xf>
    <xf numFmtId="166" fontId="3" fillId="24" borderId="9" xfId="61" applyFont="1" applyFill="1" applyBorder="1" applyAlignment="1">
      <alignment vertical="center"/>
    </xf>
    <xf numFmtId="166" fontId="3" fillId="18" borderId="9" xfId="59" applyFont="1" applyFill="1" applyBorder="1" applyAlignment="1">
      <alignment horizontal="right" vertical="center"/>
    </xf>
    <xf numFmtId="0" fontId="3" fillId="18" borderId="9" xfId="60" applyFont="1" applyFill="1" applyBorder="1" applyAlignment="1">
      <alignment horizontal="center" vertical="center" wrapText="1"/>
    </xf>
    <xf numFmtId="0" fontId="3" fillId="18" borderId="23" xfId="60" applyFont="1" applyFill="1" applyBorder="1" applyAlignment="1">
      <alignment horizontal="center" vertical="center" wrapText="1"/>
    </xf>
    <xf numFmtId="166" fontId="3" fillId="24" borderId="9" xfId="61" applyFont="1" applyFill="1" applyBorder="1" applyAlignment="1">
      <alignment horizontal="right" vertical="center" wrapText="1"/>
    </xf>
    <xf numFmtId="0" fontId="3" fillId="25" borderId="26" xfId="0" applyFont="1" applyFill="1" applyBorder="1" applyAlignment="1">
      <alignment horizontal="center" vertical="center" wrapText="1"/>
    </xf>
    <xf numFmtId="0" fontId="3" fillId="18" borderId="26" xfId="0" applyFont="1" applyFill="1" applyBorder="1" applyAlignment="1">
      <alignment horizontal="center" vertical="center" wrapText="1"/>
    </xf>
    <xf numFmtId="0" fontId="3" fillId="18" borderId="26" xfId="0" applyFont="1" applyFill="1" applyBorder="1" applyAlignment="1">
      <alignment horizontal="left" vertical="center" wrapText="1"/>
    </xf>
    <xf numFmtId="2" fontId="3" fillId="24" borderId="9" xfId="60" applyNumberFormat="1" applyFont="1" applyFill="1" applyBorder="1" applyAlignment="1">
      <alignment horizontal="right" vertical="center" wrapText="1"/>
    </xf>
    <xf numFmtId="0" fontId="3" fillId="18" borderId="9" xfId="60" applyFont="1" applyFill="1" applyBorder="1" applyAlignment="1">
      <alignment horizontal="right" vertical="center" wrapText="1"/>
    </xf>
    <xf numFmtId="0" fontId="3" fillId="18" borderId="16" xfId="60" applyFont="1" applyFill="1" applyBorder="1" applyAlignment="1">
      <alignment horizontal="left" vertical="center" wrapText="1"/>
    </xf>
    <xf numFmtId="0" fontId="3" fillId="18" borderId="0" xfId="60" applyFont="1" applyFill="1" applyBorder="1" applyAlignment="1">
      <alignment horizontal="left" vertical="center" wrapText="1"/>
    </xf>
    <xf numFmtId="0" fontId="3" fillId="18" borderId="0" xfId="60" applyFont="1" applyFill="1" applyBorder="1" applyAlignment="1">
      <alignment horizontal="center" vertical="center"/>
    </xf>
    <xf numFmtId="4" fontId="3" fillId="18" borderId="0" xfId="59" applyNumberFormat="1" applyFont="1" applyFill="1" applyBorder="1" applyAlignment="1">
      <alignment horizontal="right" vertical="center"/>
    </xf>
    <xf numFmtId="166" fontId="3" fillId="18" borderId="0" xfId="59" applyFont="1" applyFill="1" applyBorder="1" applyAlignment="1">
      <alignment horizontal="right" vertical="center"/>
    </xf>
    <xf numFmtId="166" fontId="3" fillId="18" borderId="17" xfId="59" applyFont="1" applyFill="1" applyBorder="1" applyAlignment="1">
      <alignment horizontal="right" vertical="center"/>
    </xf>
    <xf numFmtId="0" fontId="3" fillId="18" borderId="9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25" xfId="0" applyFont="1" applyFill="1" applyBorder="1" applyAlignment="1">
      <alignment horizontal="left" vertical="center" wrapText="1"/>
    </xf>
    <xf numFmtId="166" fontId="3" fillId="18" borderId="9" xfId="59" applyFont="1" applyFill="1" applyBorder="1" applyAlignment="1">
      <alignment vertical="center"/>
    </xf>
    <xf numFmtId="166" fontId="3" fillId="18" borderId="10" xfId="59" applyFont="1" applyFill="1" applyBorder="1" applyAlignment="1">
      <alignment vertical="center"/>
    </xf>
    <xf numFmtId="0" fontId="3" fillId="18" borderId="9" xfId="0" applyFont="1" applyFill="1" applyBorder="1" applyAlignment="1">
      <alignment horizontal="justify" vertical="center" wrapText="1"/>
    </xf>
    <xf numFmtId="166" fontId="3" fillId="18" borderId="10" xfId="62" applyFont="1" applyFill="1" applyBorder="1" applyAlignment="1">
      <alignment horizontal="right" vertical="center"/>
    </xf>
    <xf numFmtId="0" fontId="3" fillId="18" borderId="9" xfId="60" applyFont="1" applyFill="1" applyBorder="1" applyAlignment="1">
      <alignment horizontal="center" vertical="center"/>
    </xf>
    <xf numFmtId="166" fontId="3" fillId="0" borderId="0" xfId="59" applyFont="1" applyFill="1" applyAlignment="1">
      <alignment horizontal="right" vertical="center"/>
    </xf>
    <xf numFmtId="166" fontId="3" fillId="24" borderId="9" xfId="59" applyFont="1" applyFill="1" applyBorder="1" applyAlignment="1">
      <alignment horizontal="right" vertical="center"/>
    </xf>
    <xf numFmtId="0" fontId="3" fillId="18" borderId="9" xfId="60" applyFont="1" applyFill="1" applyBorder="1" applyAlignment="1">
      <alignment horizontal="left" vertical="center" wrapText="1"/>
    </xf>
    <xf numFmtId="0" fontId="21" fillId="27" borderId="23" xfId="40" applyFont="1" applyFill="1" applyBorder="1" applyAlignment="1">
      <alignment horizontal="center" vertical="center"/>
    </xf>
    <xf numFmtId="0" fontId="21" fillId="27" borderId="9" xfId="40" applyFont="1" applyFill="1" applyBorder="1" applyAlignment="1">
      <alignment horizontal="center"/>
    </xf>
    <xf numFmtId="0" fontId="21" fillId="27" borderId="9" xfId="40" applyFont="1" applyFill="1" applyBorder="1" applyAlignment="1">
      <alignment vertical="center" wrapText="1"/>
    </xf>
    <xf numFmtId="0" fontId="21" fillId="27" borderId="9" xfId="40" applyFont="1" applyFill="1" applyBorder="1" applyAlignment="1">
      <alignment vertical="center"/>
    </xf>
    <xf numFmtId="166" fontId="21" fillId="27" borderId="9" xfId="59" applyFont="1" applyFill="1" applyBorder="1" applyAlignment="1">
      <alignment vertical="center"/>
    </xf>
    <xf numFmtId="0" fontId="21" fillId="27" borderId="24" xfId="40" applyFont="1" applyFill="1" applyBorder="1" applyAlignment="1">
      <alignment vertical="center"/>
    </xf>
    <xf numFmtId="0" fontId="21" fillId="26" borderId="18" xfId="40" applyFont="1" applyFill="1" applyBorder="1" applyAlignment="1">
      <alignment vertical="center"/>
    </xf>
    <xf numFmtId="0" fontId="21" fillId="26" borderId="19" xfId="40" applyFont="1" applyFill="1" applyBorder="1" applyAlignment="1">
      <alignment vertical="center"/>
    </xf>
    <xf numFmtId="0" fontId="21" fillId="27" borderId="23" xfId="0" applyFont="1" applyFill="1" applyBorder="1" applyAlignment="1">
      <alignment horizontal="center" vertical="center" wrapText="1"/>
    </xf>
    <xf numFmtId="0" fontId="21" fillId="27" borderId="9" xfId="40" applyNumberFormat="1" applyFont="1" applyFill="1" applyBorder="1" applyAlignment="1">
      <alignment horizontal="center" vertical="center" wrapText="1"/>
    </xf>
    <xf numFmtId="0" fontId="21" fillId="27" borderId="9" xfId="0" applyFont="1" applyFill="1" applyBorder="1" applyAlignment="1">
      <alignment horizontal="right" vertical="center" wrapText="1"/>
    </xf>
    <xf numFmtId="171" fontId="21" fillId="27" borderId="9" xfId="40" applyNumberFormat="1" applyFont="1" applyFill="1" applyBorder="1" applyAlignment="1">
      <alignment vertical="center" wrapText="1"/>
    </xf>
    <xf numFmtId="171" fontId="21" fillId="27" borderId="9" xfId="40" quotePrefix="1" applyNumberFormat="1" applyFont="1" applyFill="1" applyBorder="1" applyAlignment="1">
      <alignment horizontal="center" vertical="center"/>
    </xf>
    <xf numFmtId="4" fontId="21" fillId="27" borderId="24" xfId="48" applyNumberFormat="1" applyFont="1" applyFill="1" applyBorder="1" applyAlignment="1">
      <alignment horizontal="right" vertical="center"/>
    </xf>
    <xf numFmtId="0" fontId="21" fillId="27" borderId="23" xfId="60" applyFont="1" applyFill="1" applyBorder="1" applyAlignment="1">
      <alignment horizontal="center" vertical="center" wrapText="1"/>
    </xf>
    <xf numFmtId="0" fontId="21" fillId="27" borderId="9" xfId="60" applyFont="1" applyFill="1" applyBorder="1" applyAlignment="1">
      <alignment horizontal="right" vertical="center" wrapText="1"/>
    </xf>
    <xf numFmtId="0" fontId="21" fillId="27" borderId="9" xfId="60" applyFont="1" applyFill="1" applyBorder="1" applyAlignment="1">
      <alignment horizontal="left" vertical="center" wrapText="1"/>
    </xf>
    <xf numFmtId="44" fontId="21" fillId="27" borderId="24" xfId="3" applyFont="1" applyFill="1" applyBorder="1" applyAlignment="1">
      <alignment horizontal="right" vertical="center" wrapText="1"/>
    </xf>
    <xf numFmtId="44" fontId="21" fillId="27" borderId="30" xfId="3" applyFont="1" applyFill="1" applyBorder="1" applyAlignment="1">
      <alignment horizontal="right" vertical="center"/>
    </xf>
    <xf numFmtId="4" fontId="21" fillId="21" borderId="21" xfId="40" applyNumberFormat="1" applyFont="1" applyFill="1" applyBorder="1" applyAlignment="1">
      <alignment vertical="center" wrapText="1"/>
    </xf>
    <xf numFmtId="0" fontId="21" fillId="0" borderId="0" xfId="60" applyFont="1" applyFill="1" applyBorder="1" applyAlignment="1">
      <alignment vertical="center" wrapText="1"/>
    </xf>
    <xf numFmtId="2" fontId="21" fillId="27" borderId="9" xfId="0" applyNumberFormat="1" applyFont="1" applyFill="1" applyBorder="1" applyAlignment="1">
      <alignment vertical="center" wrapText="1"/>
    </xf>
    <xf numFmtId="0" fontId="3" fillId="18" borderId="9" xfId="60" applyFont="1" applyFill="1" applyBorder="1" applyAlignment="1">
      <alignment vertical="center" wrapText="1"/>
    </xf>
    <xf numFmtId="166" fontId="3" fillId="18" borderId="0" xfId="59" applyFont="1" applyFill="1" applyBorder="1" applyAlignment="1">
      <alignment vertical="center"/>
    </xf>
    <xf numFmtId="166" fontId="3" fillId="18" borderId="10" xfId="62" applyFont="1" applyFill="1" applyBorder="1" applyAlignment="1">
      <alignment vertical="center"/>
    </xf>
    <xf numFmtId="0" fontId="21" fillId="27" borderId="9" xfId="60" applyFont="1" applyFill="1" applyBorder="1" applyAlignment="1">
      <alignment vertical="center" wrapText="1"/>
    </xf>
    <xf numFmtId="0" fontId="3" fillId="0" borderId="0" xfId="60" applyFont="1" applyBorder="1" applyAlignment="1"/>
    <xf numFmtId="0" fontId="3" fillId="0" borderId="0" xfId="60" applyBorder="1" applyAlignment="1"/>
    <xf numFmtId="0" fontId="0" fillId="0" borderId="0" xfId="0" applyBorder="1" applyAlignment="1"/>
    <xf numFmtId="166" fontId="5" fillId="18" borderId="0" xfId="59" applyFont="1" applyFill="1" applyAlignment="1">
      <alignment vertical="center"/>
    </xf>
    <xf numFmtId="0" fontId="0" fillId="0" borderId="0" xfId="0" applyAlignment="1"/>
    <xf numFmtId="2" fontId="3" fillId="18" borderId="24" xfId="40" applyNumberFormat="1" applyFont="1" applyFill="1" applyBorder="1" applyAlignment="1">
      <alignment vertical="center"/>
    </xf>
    <xf numFmtId="0" fontId="3" fillId="0" borderId="9" xfId="65" applyNumberFormat="1" applyFont="1" applyFill="1" applyBorder="1" applyAlignment="1">
      <alignment horizontal="left" vertical="center" wrapText="1"/>
    </xf>
    <xf numFmtId="0" fontId="3" fillId="0" borderId="0" xfId="60" applyAlignment="1">
      <alignment vertical="center"/>
    </xf>
    <xf numFmtId="0" fontId="0" fillId="0" borderId="0" xfId="0" applyAlignment="1">
      <alignment vertical="center"/>
    </xf>
    <xf numFmtId="0" fontId="3" fillId="18" borderId="9" xfId="4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9" fontId="32" fillId="24" borderId="9" xfId="0" applyNumberFormat="1" applyFont="1" applyFill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32" fillId="18" borderId="40" xfId="0" applyFont="1" applyFill="1" applyBorder="1" applyAlignment="1">
      <alignment horizontal="center"/>
    </xf>
    <xf numFmtId="0" fontId="32" fillId="18" borderId="41" xfId="0" applyFont="1" applyFill="1" applyBorder="1" applyAlignment="1">
      <alignment horizontal="center"/>
    </xf>
    <xf numFmtId="9" fontId="32" fillId="18" borderId="40" xfId="64" applyFont="1" applyFill="1" applyBorder="1" applyAlignment="1">
      <alignment horizontal="center" vertical="center"/>
    </xf>
    <xf numFmtId="9" fontId="32" fillId="18" borderId="41" xfId="64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33" fillId="0" borderId="33" xfId="0" applyFont="1" applyBorder="1" applyAlignment="1">
      <alignment horizontal="center" vertical="center"/>
    </xf>
    <xf numFmtId="0" fontId="33" fillId="0" borderId="30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9" fontId="32" fillId="0" borderId="24" xfId="0" applyNumberFormat="1" applyFont="1" applyBorder="1" applyAlignment="1">
      <alignment horizontal="center" vertical="center"/>
    </xf>
    <xf numFmtId="43" fontId="32" fillId="0" borderId="24" xfId="0" applyNumberFormat="1" applyFont="1" applyBorder="1" applyAlignment="1">
      <alignment horizontal="center" vertical="center"/>
    </xf>
    <xf numFmtId="9" fontId="32" fillId="0" borderId="24" xfId="0" applyNumberFormat="1" applyFont="1" applyBorder="1" applyAlignment="1">
      <alignment horizontal="center"/>
    </xf>
    <xf numFmtId="43" fontId="32" fillId="0" borderId="24" xfId="0" applyNumberFormat="1" applyFont="1" applyBorder="1" applyAlignment="1">
      <alignment horizontal="center"/>
    </xf>
    <xf numFmtId="4" fontId="33" fillId="0" borderId="30" xfId="0" applyNumberFormat="1" applyFont="1" applyBorder="1" applyAlignment="1">
      <alignment horizontal="center"/>
    </xf>
    <xf numFmtId="0" fontId="33" fillId="0" borderId="19" xfId="0" applyFont="1" applyBorder="1" applyAlignment="1">
      <alignment horizontal="center" vertical="center" wrapText="1"/>
    </xf>
    <xf numFmtId="4" fontId="32" fillId="0" borderId="42" xfId="0" applyNumberFormat="1" applyFont="1" applyBorder="1" applyAlignment="1">
      <alignment horizontal="center" vertical="center"/>
    </xf>
    <xf numFmtId="4" fontId="32" fillId="18" borderId="42" xfId="0" applyNumberFormat="1" applyFont="1" applyFill="1" applyBorder="1" applyAlignment="1">
      <alignment horizontal="center" vertical="center"/>
    </xf>
    <xf numFmtId="4" fontId="33" fillId="18" borderId="42" xfId="0" applyNumberFormat="1" applyFont="1" applyFill="1" applyBorder="1" applyAlignment="1">
      <alignment horizontal="center" vertical="center"/>
    </xf>
    <xf numFmtId="0" fontId="32" fillId="0" borderId="55" xfId="0" applyFont="1" applyBorder="1" applyAlignment="1">
      <alignment horizontal="center"/>
    </xf>
    <xf numFmtId="4" fontId="33" fillId="18" borderId="21" xfId="0" applyNumberFormat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4" fontId="33" fillId="0" borderId="24" xfId="0" applyNumberFormat="1" applyFont="1" applyBorder="1" applyAlignment="1">
      <alignment horizontal="center"/>
    </xf>
    <xf numFmtId="0" fontId="33" fillId="0" borderId="21" xfId="0" applyFont="1" applyBorder="1" applyAlignment="1">
      <alignment horizontal="left"/>
    </xf>
    <xf numFmtId="0" fontId="33" fillId="0" borderId="56" xfId="0" applyFon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43" fontId="3" fillId="18" borderId="24" xfId="59" applyNumberFormat="1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 wrapText="1"/>
    </xf>
    <xf numFmtId="0" fontId="35" fillId="0" borderId="0" xfId="0" applyFont="1" applyBorder="1"/>
    <xf numFmtId="0" fontId="3" fillId="0" borderId="0" xfId="60" applyFont="1"/>
    <xf numFmtId="0" fontId="35" fillId="0" borderId="0" xfId="0" applyFont="1"/>
    <xf numFmtId="166" fontId="21" fillId="26" borderId="19" xfId="59" applyFont="1" applyFill="1" applyBorder="1" applyAlignment="1">
      <alignment horizontal="center" vertical="center" wrapText="1"/>
    </xf>
    <xf numFmtId="4" fontId="3" fillId="0" borderId="0" xfId="59" applyNumberFormat="1" applyFont="1" applyFill="1" applyBorder="1" applyAlignment="1">
      <alignment horizontal="center" vertical="center"/>
    </xf>
    <xf numFmtId="166" fontId="21" fillId="27" borderId="9" xfId="59" applyFont="1" applyFill="1" applyBorder="1" applyAlignment="1">
      <alignment horizontal="center" vertical="center"/>
    </xf>
    <xf numFmtId="166" fontId="3" fillId="24" borderId="9" xfId="59" applyFont="1" applyFill="1" applyBorder="1" applyAlignment="1">
      <alignment horizontal="center" vertical="center"/>
    </xf>
    <xf numFmtId="166" fontId="3" fillId="24" borderId="9" xfId="61" applyFont="1" applyFill="1" applyBorder="1" applyAlignment="1">
      <alignment horizontal="center" vertical="center"/>
    </xf>
    <xf numFmtId="0" fontId="21" fillId="0" borderId="0" xfId="60" applyFont="1" applyFill="1" applyBorder="1" applyAlignment="1">
      <alignment horizontal="center" vertical="center" wrapText="1"/>
    </xf>
    <xf numFmtId="43" fontId="3" fillId="24" borderId="9" xfId="61" applyNumberFormat="1" applyFont="1" applyFill="1" applyBorder="1" applyAlignment="1">
      <alignment horizontal="center" vertical="center" wrapText="1"/>
    </xf>
    <xf numFmtId="166" fontId="3" fillId="24" borderId="9" xfId="61" applyFont="1" applyFill="1" applyBorder="1" applyAlignment="1">
      <alignment horizontal="center" vertical="center" wrapText="1"/>
    </xf>
    <xf numFmtId="166" fontId="21" fillId="27" borderId="9" xfId="48" quotePrefix="1" applyFont="1" applyFill="1" applyBorder="1" applyAlignment="1">
      <alignment horizontal="center" vertical="center"/>
    </xf>
    <xf numFmtId="2" fontId="3" fillId="24" borderId="9" xfId="60" applyNumberFormat="1" applyFont="1" applyFill="1" applyBorder="1" applyAlignment="1">
      <alignment horizontal="center" vertical="center" wrapText="1"/>
    </xf>
    <xf numFmtId="4" fontId="3" fillId="18" borderId="0" xfId="59" applyNumberFormat="1" applyFont="1" applyFill="1" applyBorder="1" applyAlignment="1">
      <alignment horizontal="center" vertical="center"/>
    </xf>
    <xf numFmtId="0" fontId="21" fillId="27" borderId="9" xfId="60" applyFont="1" applyFill="1" applyBorder="1" applyAlignment="1">
      <alignment horizontal="center" vertical="center" wrapText="1"/>
    </xf>
    <xf numFmtId="0" fontId="3" fillId="0" borderId="0" xfId="60" applyFont="1" applyBorder="1" applyAlignment="1">
      <alignment horizontal="center"/>
    </xf>
    <xf numFmtId="166" fontId="5" fillId="18" borderId="0" xfId="59" applyFont="1" applyFill="1" applyAlignment="1">
      <alignment horizontal="center" vertical="center"/>
    </xf>
    <xf numFmtId="49" fontId="21" fillId="0" borderId="28" xfId="60" applyNumberFormat="1" applyFont="1" applyFill="1" applyBorder="1" applyAlignment="1">
      <alignment horizontal="right" vertical="center"/>
    </xf>
    <xf numFmtId="49" fontId="21" fillId="0" borderId="29" xfId="60" applyNumberFormat="1" applyFont="1" applyFill="1" applyBorder="1" applyAlignment="1">
      <alignment horizontal="right" vertical="center"/>
    </xf>
    <xf numFmtId="0" fontId="5" fillId="18" borderId="0" xfId="40" applyNumberFormat="1" applyFont="1" applyFill="1" applyBorder="1" applyAlignment="1" applyProtection="1">
      <alignment horizontal="left" vertical="justify"/>
      <protection locked="0"/>
    </xf>
    <xf numFmtId="0" fontId="5" fillId="18" borderId="0" xfId="40" applyFont="1" applyFill="1" applyBorder="1" applyAlignment="1" applyProtection="1">
      <alignment horizontal="left" vertical="center"/>
      <protection locked="0"/>
    </xf>
    <xf numFmtId="0" fontId="21" fillId="18" borderId="23" xfId="60" applyFont="1" applyFill="1" applyBorder="1" applyAlignment="1">
      <alignment horizontal="right" vertical="center" wrapText="1"/>
    </xf>
    <xf numFmtId="0" fontId="21" fillId="18" borderId="9" xfId="6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1" fillId="18" borderId="14" xfId="40" applyFont="1" applyFill="1" applyBorder="1" applyAlignment="1">
      <alignment horizontal="center" vertical="center"/>
    </xf>
    <xf numFmtId="0" fontId="21" fillId="18" borderId="15" xfId="40" applyFont="1" applyFill="1" applyBorder="1" applyAlignment="1">
      <alignment horizontal="center" vertical="center"/>
    </xf>
    <xf numFmtId="0" fontId="21" fillId="18" borderId="0" xfId="40" applyFont="1" applyFill="1" applyBorder="1" applyAlignment="1">
      <alignment horizontal="center" vertical="center"/>
    </xf>
    <xf numFmtId="0" fontId="21" fillId="18" borderId="17" xfId="40" applyFont="1" applyFill="1" applyBorder="1" applyAlignment="1">
      <alignment horizontal="center" vertical="center"/>
    </xf>
    <xf numFmtId="0" fontId="21" fillId="18" borderId="19" xfId="40" applyFont="1" applyFill="1" applyBorder="1" applyAlignment="1">
      <alignment horizontal="center" vertical="center"/>
    </xf>
    <xf numFmtId="0" fontId="21" fillId="18" borderId="20" xfId="40" applyFont="1" applyFill="1" applyBorder="1" applyAlignment="1">
      <alignment horizontal="center" vertical="center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3" fillId="0" borderId="15" xfId="0" applyFont="1" applyBorder="1" applyAlignment="1">
      <alignment horizontal="center"/>
    </xf>
    <xf numFmtId="0" fontId="31" fillId="0" borderId="16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17" xfId="0" applyFont="1" applyBorder="1" applyAlignment="1">
      <alignment horizontal="center"/>
    </xf>
    <xf numFmtId="0" fontId="33" fillId="0" borderId="16" xfId="0" applyFont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4" fontId="33" fillId="0" borderId="40" xfId="0" applyNumberFormat="1" applyFont="1" applyBorder="1" applyAlignment="1">
      <alignment horizontal="center"/>
    </xf>
    <xf numFmtId="4" fontId="33" fillId="0" borderId="41" xfId="0" applyNumberFormat="1" applyFont="1" applyBorder="1" applyAlignment="1">
      <alignment horizontal="center"/>
    </xf>
    <xf numFmtId="9" fontId="32" fillId="18" borderId="9" xfId="64" applyFont="1" applyFill="1" applyBorder="1" applyAlignment="1">
      <alignment horizontal="center" vertical="center"/>
    </xf>
    <xf numFmtId="4" fontId="32" fillId="0" borderId="9" xfId="0" applyNumberFormat="1" applyFont="1" applyBorder="1" applyAlignment="1">
      <alignment horizontal="center"/>
    </xf>
    <xf numFmtId="4" fontId="33" fillId="0" borderId="3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0" fontId="32" fillId="0" borderId="34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4" fontId="33" fillId="0" borderId="9" xfId="0" applyNumberFormat="1" applyFont="1" applyBorder="1" applyAlignment="1">
      <alignment horizontal="center"/>
    </xf>
    <xf numFmtId="0" fontId="33" fillId="0" borderId="32" xfId="0" applyFont="1" applyBorder="1" applyAlignment="1">
      <alignment horizontal="center" vertical="center" wrapText="1"/>
    </xf>
    <xf numFmtId="0" fontId="33" fillId="0" borderId="36" xfId="0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3" fillId="0" borderId="30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/>
    </xf>
    <xf numFmtId="9" fontId="32" fillId="24" borderId="9" xfId="0" applyNumberFormat="1" applyFont="1" applyFill="1" applyBorder="1" applyAlignment="1">
      <alignment horizontal="center"/>
    </xf>
    <xf numFmtId="0" fontId="33" fillId="0" borderId="31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9" fontId="32" fillId="18" borderId="32" xfId="64" applyFont="1" applyFill="1" applyBorder="1" applyAlignment="1">
      <alignment horizontal="center" vertical="center"/>
    </xf>
    <xf numFmtId="0" fontId="21" fillId="0" borderId="23" xfId="60" applyFont="1" applyFill="1" applyBorder="1" applyAlignment="1">
      <alignment horizontal="right" vertical="center" wrapText="1"/>
    </xf>
    <xf numFmtId="0" fontId="21" fillId="0" borderId="9" xfId="60" applyFont="1" applyFill="1" applyBorder="1" applyAlignment="1">
      <alignment horizontal="right" vertical="center" wrapText="1"/>
    </xf>
    <xf numFmtId="0" fontId="33" fillId="0" borderId="50" xfId="0" applyFont="1" applyBorder="1" applyAlignment="1">
      <alignment horizontal="center" vertical="center"/>
    </xf>
    <xf numFmtId="0" fontId="33" fillId="0" borderId="27" xfId="0" applyFont="1" applyBorder="1" applyAlignment="1">
      <alignment horizontal="center" vertical="center"/>
    </xf>
    <xf numFmtId="0" fontId="33" fillId="0" borderId="43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 wrapText="1"/>
    </xf>
    <xf numFmtId="0" fontId="32" fillId="18" borderId="40" xfId="0" applyFont="1" applyFill="1" applyBorder="1" applyAlignment="1">
      <alignment horizontal="center"/>
    </xf>
    <xf numFmtId="0" fontId="32" fillId="18" borderId="41" xfId="0" applyFont="1" applyFill="1" applyBorder="1" applyAlignment="1">
      <alignment horizontal="center"/>
    </xf>
    <xf numFmtId="0" fontId="33" fillId="0" borderId="45" xfId="0" applyFont="1" applyBorder="1" applyAlignment="1">
      <alignment horizontal="center"/>
    </xf>
    <xf numFmtId="0" fontId="33" fillId="0" borderId="47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9" fontId="32" fillId="18" borderId="40" xfId="0" applyNumberFormat="1" applyFont="1" applyFill="1" applyBorder="1" applyAlignment="1">
      <alignment horizontal="center"/>
    </xf>
    <xf numFmtId="0" fontId="33" fillId="0" borderId="48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43" fontId="32" fillId="18" borderId="40" xfId="64" applyNumberFormat="1" applyFont="1" applyFill="1" applyBorder="1" applyAlignment="1">
      <alignment horizontal="center" vertical="center"/>
    </xf>
    <xf numFmtId="43" fontId="32" fillId="18" borderId="41" xfId="64" applyNumberFormat="1" applyFont="1" applyFill="1" applyBorder="1" applyAlignment="1">
      <alignment horizontal="center" vertical="center"/>
    </xf>
    <xf numFmtId="4" fontId="33" fillId="0" borderId="36" xfId="0" applyNumberFormat="1" applyFont="1" applyBorder="1" applyAlignment="1">
      <alignment horizontal="center"/>
    </xf>
    <xf numFmtId="9" fontId="32" fillId="18" borderId="40" xfId="64" applyFont="1" applyFill="1" applyBorder="1" applyAlignment="1">
      <alignment horizontal="center" vertical="center"/>
    </xf>
    <xf numFmtId="9" fontId="32" fillId="18" borderId="41" xfId="64" applyFont="1" applyFill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4" fontId="33" fillId="18" borderId="17" xfId="0" applyNumberFormat="1" applyFont="1" applyFill="1" applyBorder="1" applyAlignment="1">
      <alignment horizontal="center" vertical="center"/>
    </xf>
    <xf numFmtId="4" fontId="33" fillId="18" borderId="58" xfId="0" applyNumberFormat="1" applyFont="1" applyFill="1" applyBorder="1" applyAlignment="1">
      <alignment horizontal="center" vertical="center"/>
    </xf>
    <xf numFmtId="4" fontId="33" fillId="18" borderId="56" xfId="0" applyNumberFormat="1" applyFont="1" applyFill="1" applyBorder="1" applyAlignment="1">
      <alignment horizontal="center" vertical="center"/>
    </xf>
    <xf numFmtId="0" fontId="3" fillId="18" borderId="13" xfId="40" applyFont="1" applyFill="1" applyBorder="1" applyAlignment="1">
      <alignment horizontal="center" vertical="center"/>
    </xf>
    <xf numFmtId="0" fontId="3" fillId="18" borderId="15" xfId="40" applyFont="1" applyFill="1" applyBorder="1" applyAlignment="1">
      <alignment horizontal="center" vertical="center"/>
    </xf>
    <xf numFmtId="0" fontId="3" fillId="18" borderId="18" xfId="40" applyFont="1" applyFill="1" applyBorder="1" applyAlignment="1">
      <alignment horizontal="center" vertical="center"/>
    </xf>
    <xf numFmtId="0" fontId="3" fillId="18" borderId="20" xfId="40" applyFont="1" applyFill="1" applyBorder="1" applyAlignment="1">
      <alignment horizontal="center" vertical="center"/>
    </xf>
    <xf numFmtId="43" fontId="32" fillId="18" borderId="40" xfId="0" applyNumberFormat="1" applyFont="1" applyFill="1" applyBorder="1" applyAlignment="1">
      <alignment horizontal="center"/>
    </xf>
    <xf numFmtId="43" fontId="32" fillId="18" borderId="41" xfId="0" applyNumberFormat="1" applyFont="1" applyFill="1" applyBorder="1" applyAlignment="1">
      <alignment horizontal="center"/>
    </xf>
    <xf numFmtId="0" fontId="33" fillId="0" borderId="13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47" xfId="0" applyFont="1" applyBorder="1" applyAlignment="1">
      <alignment horizontal="center" vertical="center"/>
    </xf>
    <xf numFmtId="0" fontId="3" fillId="18" borderId="13" xfId="40" applyFont="1" applyFill="1" applyBorder="1" applyAlignment="1">
      <alignment horizontal="center" vertical="center" wrapText="1"/>
    </xf>
    <xf numFmtId="0" fontId="3" fillId="18" borderId="15" xfId="40" applyFont="1" applyFill="1" applyBorder="1" applyAlignment="1">
      <alignment horizontal="center" vertical="center" wrapText="1"/>
    </xf>
    <xf numFmtId="0" fontId="3" fillId="18" borderId="18" xfId="40" applyFont="1" applyFill="1" applyBorder="1" applyAlignment="1">
      <alignment horizontal="center" vertical="center" wrapText="1"/>
    </xf>
    <xf numFmtId="0" fontId="3" fillId="18" borderId="20" xfId="40" applyFont="1" applyFill="1" applyBorder="1" applyAlignment="1">
      <alignment horizontal="center" vertical="center" wrapText="1"/>
    </xf>
    <xf numFmtId="171" fontId="3" fillId="18" borderId="13" xfId="40" applyNumberFormat="1" applyFont="1" applyFill="1" applyBorder="1" applyAlignment="1">
      <alignment horizontal="center" vertical="center" wrapText="1"/>
    </xf>
    <xf numFmtId="171" fontId="3" fillId="18" borderId="15" xfId="40" applyNumberFormat="1" applyFont="1" applyFill="1" applyBorder="1" applyAlignment="1">
      <alignment horizontal="center" vertical="center" wrapText="1"/>
    </xf>
    <xf numFmtId="171" fontId="3" fillId="18" borderId="18" xfId="40" applyNumberFormat="1" applyFont="1" applyFill="1" applyBorder="1" applyAlignment="1">
      <alignment horizontal="center" vertical="center" wrapText="1"/>
    </xf>
    <xf numFmtId="171" fontId="3" fillId="18" borderId="20" xfId="40" applyNumberFormat="1" applyFont="1" applyFill="1" applyBorder="1" applyAlignment="1">
      <alignment horizontal="center" vertical="center" wrapText="1"/>
    </xf>
    <xf numFmtId="43" fontId="32" fillId="18" borderId="40" xfId="64" applyNumberFormat="1" applyFont="1" applyFill="1" applyBorder="1" applyAlignment="1">
      <alignment horizontal="left" vertical="center"/>
    </xf>
    <xf numFmtId="43" fontId="32" fillId="18" borderId="41" xfId="64" applyNumberFormat="1" applyFont="1" applyFill="1" applyBorder="1" applyAlignment="1">
      <alignment horizontal="left" vertical="center"/>
    </xf>
    <xf numFmtId="4" fontId="33" fillId="0" borderId="58" xfId="0" applyNumberFormat="1" applyFont="1" applyBorder="1" applyAlignment="1">
      <alignment horizontal="center" vertical="center"/>
    </xf>
    <xf numFmtId="4" fontId="33" fillId="0" borderId="56" xfId="0" applyNumberFormat="1" applyFont="1" applyBorder="1" applyAlignment="1">
      <alignment horizontal="center" vertical="center"/>
    </xf>
    <xf numFmtId="0" fontId="21" fillId="18" borderId="18" xfId="60" applyFont="1" applyFill="1" applyBorder="1" applyAlignment="1">
      <alignment horizontal="center" vertical="center" wrapText="1"/>
    </xf>
    <xf numFmtId="0" fontId="21" fillId="18" borderId="19" xfId="60" applyFont="1" applyFill="1" applyBorder="1" applyAlignment="1">
      <alignment horizontal="center" vertical="center" wrapText="1"/>
    </xf>
    <xf numFmtId="0" fontId="21" fillId="18" borderId="20" xfId="60" applyFont="1" applyFill="1" applyBorder="1" applyAlignment="1">
      <alignment horizontal="center" vertical="center" wrapText="1"/>
    </xf>
    <xf numFmtId="0" fontId="21" fillId="18" borderId="53" xfId="60" applyFont="1" applyFill="1" applyBorder="1" applyAlignment="1">
      <alignment horizontal="center" vertical="center" wrapText="1"/>
    </xf>
    <xf numFmtId="0" fontId="21" fillId="18" borderId="22" xfId="60" applyFont="1" applyFill="1" applyBorder="1" applyAlignment="1">
      <alignment horizontal="center" vertical="center" wrapText="1"/>
    </xf>
    <xf numFmtId="0" fontId="21" fillId="18" borderId="54" xfId="6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3" fillId="18" borderId="13" xfId="60" applyFont="1" applyFill="1" applyBorder="1" applyAlignment="1">
      <alignment horizontal="center" vertical="center" wrapText="1"/>
    </xf>
    <xf numFmtId="0" fontId="3" fillId="18" borderId="15" xfId="60" applyFont="1" applyFill="1" applyBorder="1" applyAlignment="1">
      <alignment horizontal="center" vertical="center" wrapText="1"/>
    </xf>
    <xf numFmtId="0" fontId="3" fillId="18" borderId="18" xfId="60" applyFont="1" applyFill="1" applyBorder="1" applyAlignment="1">
      <alignment horizontal="center" vertical="center" wrapText="1"/>
    </xf>
    <xf numFmtId="0" fontId="3" fillId="18" borderId="20" xfId="60" applyFont="1" applyFill="1" applyBorder="1" applyAlignment="1">
      <alignment horizontal="center" vertical="center" wrapText="1"/>
    </xf>
  </cellXfs>
  <cellStyles count="66">
    <cellStyle name="20% - Ênfase1 2" xfId="5"/>
    <cellStyle name="20% - Ênfase2 2" xfId="6"/>
    <cellStyle name="20% - Ênfase3 2" xfId="7"/>
    <cellStyle name="20% - Ênfase4 2" xfId="8"/>
    <cellStyle name="20% - Ênfase5 2" xfId="9"/>
    <cellStyle name="20% - Ênfase6 2" xfId="10"/>
    <cellStyle name="40% - Ênfase1 2" xfId="11"/>
    <cellStyle name="40% - Ênfase2 2" xfId="12"/>
    <cellStyle name="40% - Ênfase3 2" xfId="13"/>
    <cellStyle name="40% - Ênfase4 2" xfId="14"/>
    <cellStyle name="40% - Ênfase5 2" xfId="15"/>
    <cellStyle name="40% - Ênfase6 2" xfId="16"/>
    <cellStyle name="60% - Ênfase1 2" xfId="17"/>
    <cellStyle name="60% - Ênfase2 2" xfId="18"/>
    <cellStyle name="60% - Ênfase3 2" xfId="19"/>
    <cellStyle name="60% - Ênfase4 2" xfId="20"/>
    <cellStyle name="60% - Ênfase5 2" xfId="21"/>
    <cellStyle name="60% - Ênfase6 2" xfId="22"/>
    <cellStyle name="Bom 2" xfId="23"/>
    <cellStyle name="Cálculo 2" xfId="24"/>
    <cellStyle name="Célula de Verificação 2" xfId="25"/>
    <cellStyle name="Célula Vinculada 2" xfId="26"/>
    <cellStyle name="Comma0" xfId="27"/>
    <cellStyle name="Currency0" xfId="28"/>
    <cellStyle name="Ênfase1 2" xfId="29"/>
    <cellStyle name="Ênfase2 2" xfId="30"/>
    <cellStyle name="Ênfase3 2" xfId="31"/>
    <cellStyle name="Ênfase4 2" xfId="32"/>
    <cellStyle name="Ênfase5 2" xfId="33"/>
    <cellStyle name="Ênfase6 2" xfId="34"/>
    <cellStyle name="Entrada 2" xfId="35"/>
    <cellStyle name="Excel Built-in Normal" xfId="36"/>
    <cellStyle name="Incorreto 2" xfId="37"/>
    <cellStyle name="Moeda" xfId="3" builtinId="4"/>
    <cellStyle name="Moeda 2" xfId="38"/>
    <cellStyle name="Neutra 2" xfId="39"/>
    <cellStyle name="NívelCol_1" xfId="2" builtinId="2" iLevel="0"/>
    <cellStyle name="NívelLinha_1" xfId="1" builtinId="1" iLevel="0"/>
    <cellStyle name="Normal" xfId="0" builtinId="0"/>
    <cellStyle name="Normal 2" xfId="40"/>
    <cellStyle name="Normal 3" xfId="4"/>
    <cellStyle name="Normal 3 2" xfId="65"/>
    <cellStyle name="Normal 30" xfId="41"/>
    <cellStyle name="Normal 4" xfId="60"/>
    <cellStyle name="Normal 6" xfId="42"/>
    <cellStyle name="Normal_Planilha Casa A=50,00 m²" xfId="43"/>
    <cellStyle name="Nota 2" xfId="44"/>
    <cellStyle name="Porcentagem" xfId="64" builtinId="5"/>
    <cellStyle name="Porcentagem 2" xfId="45"/>
    <cellStyle name="Saída 2" xfId="46"/>
    <cellStyle name="Separador de milhares 2" xfId="48"/>
    <cellStyle name="Separador de milhares 3" xfId="49"/>
    <cellStyle name="Separador de milhares 4" xfId="47"/>
    <cellStyle name="Texto de Aviso 2" xfId="50"/>
    <cellStyle name="Texto Explicativo 2" xfId="51"/>
    <cellStyle name="Título 1 2" xfId="53"/>
    <cellStyle name="Título 2 2" xfId="54"/>
    <cellStyle name="Título 3 2" xfId="55"/>
    <cellStyle name="Título 4 2" xfId="56"/>
    <cellStyle name="Título 5" xfId="52"/>
    <cellStyle name="Total 2" xfId="57"/>
    <cellStyle name="Vírgula 3" xfId="58"/>
    <cellStyle name="Vírgula 3 2" xfId="62"/>
    <cellStyle name="Vírgula 4" xfId="63"/>
    <cellStyle name="Vírgula 5" xfId="59"/>
    <cellStyle name="Vírgula 5 2" xfId="6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s://lh3.googleusercontent.com/_eqt8Uaa-wMKxZD6-oJVc3pqm9GdZYt_Ri7C15U6HYeOOiEnf3-DAMHtsoFGAUcL8F-lMxdm7yNt0emn8uSKBP8FEgQl-Hiju7NAFRp0w6fsLlY9Zl1LNgabZofaARi5n8TahTi1RzNPmqU-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https://lh3.googleusercontent.com/_eqt8Uaa-wMKxZD6-oJVc3pqm9GdZYt_Ri7C15U6HYeOOiEnf3-DAMHtsoFGAUcL8F-lMxdm7yNt0emn8uSKBP8FEgQl-Hiju7NAFRp0w6fsLlY9Zl1LNgabZofaARi5n8TahTi1RzNPmqU-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https://lh3.googleusercontent.com/_eqt8Uaa-wMKxZD6-oJVc3pqm9GdZYt_Ri7C15U6HYeOOiEnf3-DAMHtsoFGAUcL8F-lMxdm7yNt0emn8uSKBP8FEgQl-Hiju7NAFRp0w6fsLlY9Zl1LNgabZofaARi5n8TahTi1RzNPmqU-" TargetMode="Externa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264795</xdr:colOff>
      <xdr:row>4</xdr:row>
      <xdr:rowOff>179705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531745" cy="94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276225</xdr:colOff>
      <xdr:row>4</xdr:row>
      <xdr:rowOff>52624</xdr:rowOff>
    </xdr:to>
    <xdr:pic>
      <xdr:nvPicPr>
        <xdr:cNvPr id="3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8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721995</xdr:colOff>
      <xdr:row>4</xdr:row>
      <xdr:rowOff>179705</xdr:rowOff>
    </xdr:to>
    <xdr:pic>
      <xdr:nvPicPr>
        <xdr:cNvPr id="2" name="Imagem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07870" cy="9417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2</xdr:col>
      <xdr:colOff>276225</xdr:colOff>
      <xdr:row>4</xdr:row>
      <xdr:rowOff>52624</xdr:rowOff>
    </xdr:to>
    <xdr:pic>
      <xdr:nvPicPr>
        <xdr:cNvPr id="3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19300" cy="814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99060</xdr:rowOff>
    </xdr:from>
    <xdr:to>
      <xdr:col>1</xdr:col>
      <xdr:colOff>982669</xdr:colOff>
      <xdr:row>4</xdr:row>
      <xdr:rowOff>38100</xdr:rowOff>
    </xdr:to>
    <xdr:pic>
      <xdr:nvPicPr>
        <xdr:cNvPr id="3" name="Imagem 2" descr="LOGO PREF-JPG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9060"/>
          <a:ext cx="1767529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31"/>
  <sheetViews>
    <sheetView topLeftCell="A16" workbookViewId="0">
      <selection activeCell="N15" sqref="N15"/>
    </sheetView>
  </sheetViews>
  <sheetFormatPr defaultRowHeight="15"/>
  <cols>
    <col min="1" max="1" width="11.140625" customWidth="1"/>
    <col min="3" max="3" width="43.42578125" customWidth="1"/>
    <col min="5" max="5" width="14.28515625" customWidth="1"/>
    <col min="6" max="6" width="11.85546875" customWidth="1"/>
    <col min="7" max="7" width="12.85546875" customWidth="1"/>
  </cols>
  <sheetData>
    <row r="2" spans="1:8" ht="38.25">
      <c r="A2" s="15" t="s">
        <v>15</v>
      </c>
      <c r="B2" s="19"/>
      <c r="C2" s="20" t="s">
        <v>19</v>
      </c>
      <c r="D2" s="31" t="s">
        <v>27</v>
      </c>
      <c r="E2" s="21">
        <v>1</v>
      </c>
      <c r="F2" s="22">
        <f>G28</f>
        <v>2731.7162093760003</v>
      </c>
      <c r="G2" s="23">
        <f>(E2*F2)</f>
        <v>2731.7162093760003</v>
      </c>
      <c r="H2" s="3"/>
    </row>
    <row r="3" spans="1:8">
      <c r="A3" s="50"/>
      <c r="B3" s="50"/>
      <c r="C3" s="51"/>
      <c r="D3" s="50"/>
      <c r="E3" s="52"/>
      <c r="F3" s="34"/>
      <c r="G3" s="53"/>
      <c r="H3" s="3"/>
    </row>
    <row r="4" spans="1:8">
      <c r="A4" s="26"/>
      <c r="B4" s="26"/>
      <c r="C4" s="8" t="s">
        <v>0</v>
      </c>
      <c r="D4" s="26"/>
      <c r="E4" s="45"/>
      <c r="F4" s="54"/>
      <c r="G4" s="30"/>
      <c r="H4" s="3"/>
    </row>
    <row r="5" spans="1:8">
      <c r="A5" s="28"/>
      <c r="B5" s="28"/>
      <c r="C5" s="8"/>
      <c r="D5" s="26"/>
      <c r="E5" s="33"/>
      <c r="F5" s="44"/>
      <c r="G5" s="30"/>
      <c r="H5" s="3"/>
    </row>
    <row r="6" spans="1:8">
      <c r="A6" s="28"/>
      <c r="B6" s="28"/>
      <c r="C6" s="8"/>
      <c r="D6" s="26"/>
      <c r="E6" s="33"/>
      <c r="F6" s="44"/>
      <c r="G6" s="30"/>
      <c r="H6" s="3"/>
    </row>
    <row r="7" spans="1:8">
      <c r="A7" s="26"/>
      <c r="B7" s="26"/>
      <c r="C7" s="32" t="s">
        <v>1</v>
      </c>
      <c r="D7" s="26"/>
      <c r="E7" s="33"/>
      <c r="F7" s="34"/>
      <c r="G7" s="30"/>
      <c r="H7" s="3"/>
    </row>
    <row r="8" spans="1:8">
      <c r="A8" s="35" t="s">
        <v>2</v>
      </c>
      <c r="B8" s="28"/>
      <c r="C8" s="8" t="s">
        <v>3</v>
      </c>
      <c r="D8" s="26" t="s">
        <v>4</v>
      </c>
      <c r="E8" s="36">
        <v>24</v>
      </c>
      <c r="F8" s="37">
        <v>9.1199999999999992</v>
      </c>
      <c r="G8" s="30">
        <f>(E8*F8)</f>
        <v>218.88</v>
      </c>
      <c r="H8" s="3"/>
    </row>
    <row r="9" spans="1:8">
      <c r="A9" s="35" t="s">
        <v>5</v>
      </c>
      <c r="B9" s="28"/>
      <c r="C9" s="8" t="s">
        <v>6</v>
      </c>
      <c r="D9" s="26" t="s">
        <v>4</v>
      </c>
      <c r="E9" s="36">
        <v>24</v>
      </c>
      <c r="F9" s="37">
        <v>12.27</v>
      </c>
      <c r="G9" s="30">
        <f>(E9*F9)</f>
        <v>294.48</v>
      </c>
      <c r="H9" s="3"/>
    </row>
    <row r="10" spans="1:8">
      <c r="A10" s="28"/>
      <c r="B10" s="28"/>
      <c r="C10" s="1" t="s">
        <v>18</v>
      </c>
      <c r="D10" s="1"/>
      <c r="E10" s="1"/>
      <c r="F10" s="1"/>
      <c r="G10" s="38">
        <f>SUM(G8:G9)</f>
        <v>513.36</v>
      </c>
      <c r="H10" s="3"/>
    </row>
    <row r="11" spans="1:8">
      <c r="A11" s="26"/>
      <c r="B11" s="26"/>
      <c r="C11" s="8" t="s">
        <v>7</v>
      </c>
      <c r="D11" s="26" t="s">
        <v>8</v>
      </c>
      <c r="E11" s="39">
        <v>90.01</v>
      </c>
      <c r="F11" s="40"/>
      <c r="G11" s="30"/>
      <c r="H11" s="3"/>
    </row>
    <row r="12" spans="1:8">
      <c r="A12" s="26"/>
      <c r="B12" s="26"/>
      <c r="C12" s="8"/>
      <c r="D12" s="26"/>
      <c r="E12" s="33"/>
      <c r="F12" s="41"/>
      <c r="G12" s="42"/>
      <c r="H12" s="3"/>
    </row>
    <row r="13" spans="1:8">
      <c r="A13" s="26"/>
      <c r="B13" s="26"/>
      <c r="C13" s="32" t="s">
        <v>9</v>
      </c>
      <c r="D13" s="26"/>
      <c r="E13" s="33"/>
      <c r="F13" s="41"/>
      <c r="G13" s="43"/>
      <c r="H13" s="3"/>
    </row>
    <row r="14" spans="1:8">
      <c r="A14" s="26" t="s">
        <v>26</v>
      </c>
      <c r="B14" s="26" t="s">
        <v>17</v>
      </c>
      <c r="C14" s="8" t="s">
        <v>25</v>
      </c>
      <c r="D14" s="26" t="s">
        <v>12</v>
      </c>
      <c r="E14" s="27">
        <f>(3*0.3*0.5)</f>
        <v>0.44999999999999996</v>
      </c>
      <c r="F14" s="24">
        <v>24.18</v>
      </c>
      <c r="G14" s="30">
        <f>(E14*F14)</f>
        <v>10.880999999999998</v>
      </c>
      <c r="H14" s="3"/>
    </row>
    <row r="15" spans="1:8" ht="63.75">
      <c r="A15" s="14">
        <v>87496</v>
      </c>
      <c r="B15" s="28" t="s">
        <v>10</v>
      </c>
      <c r="C15" s="8" t="s">
        <v>21</v>
      </c>
      <c r="D15" s="26" t="s">
        <v>11</v>
      </c>
      <c r="E15" s="12">
        <f>(2.8*2.4)</f>
        <v>6.72</v>
      </c>
      <c r="F15" s="25">
        <v>59.67</v>
      </c>
      <c r="G15" s="30">
        <f>(E15*F15)</f>
        <v>400.98239999999998</v>
      </c>
      <c r="H15" s="3"/>
    </row>
    <row r="16" spans="1:8" ht="76.5">
      <c r="A16" s="14">
        <v>91007</v>
      </c>
      <c r="B16" s="28" t="s">
        <v>10</v>
      </c>
      <c r="C16" s="9" t="s">
        <v>28</v>
      </c>
      <c r="D16" s="26" t="s">
        <v>11</v>
      </c>
      <c r="E16" s="29">
        <f>((0.4*3)+(0.2*3))*2+(0.3*2*3.4)*2</f>
        <v>7.6800000000000006</v>
      </c>
      <c r="F16" s="25">
        <v>9.23</v>
      </c>
      <c r="G16" s="30">
        <f t="shared" ref="G16:G20" si="0">(E16*F16)</f>
        <v>70.886400000000009</v>
      </c>
      <c r="H16" s="3"/>
    </row>
    <row r="17" spans="1:11">
      <c r="A17" s="14">
        <v>92777</v>
      </c>
      <c r="B17" s="7" t="s">
        <v>10</v>
      </c>
      <c r="C17" s="9" t="s">
        <v>22</v>
      </c>
      <c r="D17" s="5" t="s">
        <v>23</v>
      </c>
      <c r="E17" s="13">
        <f>(E19*80)</f>
        <v>55.680000000000014</v>
      </c>
      <c r="F17" s="25">
        <v>9.5500000000000007</v>
      </c>
      <c r="G17" s="6">
        <f t="shared" si="0"/>
        <v>531.74400000000014</v>
      </c>
      <c r="H17" s="3"/>
    </row>
    <row r="18" spans="1:11">
      <c r="A18" s="14">
        <v>92791</v>
      </c>
      <c r="B18" s="7" t="s">
        <v>10</v>
      </c>
      <c r="C18" s="9" t="s">
        <v>24</v>
      </c>
      <c r="D18" s="5" t="s">
        <v>23</v>
      </c>
      <c r="E18" s="13">
        <f>(E19*14)</f>
        <v>9.7440000000000033</v>
      </c>
      <c r="F18" s="25">
        <v>6.91</v>
      </c>
      <c r="G18" s="6">
        <f t="shared" si="0"/>
        <v>67.33104000000003</v>
      </c>
      <c r="H18" s="3"/>
    </row>
    <row r="19" spans="1:11" ht="51">
      <c r="A19" s="14">
        <v>94964</v>
      </c>
      <c r="B19" s="7" t="s">
        <v>10</v>
      </c>
      <c r="C19" s="9" t="s">
        <v>29</v>
      </c>
      <c r="D19" s="5" t="s">
        <v>12</v>
      </c>
      <c r="E19" s="16">
        <f>((0.4*3*0.2)+(0.2*3*0.2)+(2.8*0.3*0.2)*2)</f>
        <v>0.69600000000000017</v>
      </c>
      <c r="F19" s="25">
        <v>303.89999999999998</v>
      </c>
      <c r="G19" s="6">
        <f t="shared" si="0"/>
        <v>211.51440000000002</v>
      </c>
      <c r="H19" s="3"/>
    </row>
    <row r="20" spans="1:11" ht="38.25">
      <c r="A20" s="14">
        <v>87879</v>
      </c>
      <c r="B20" s="7" t="s">
        <v>10</v>
      </c>
      <c r="C20" s="9" t="s">
        <v>13</v>
      </c>
      <c r="D20" s="5" t="s">
        <v>11</v>
      </c>
      <c r="E20" s="17">
        <f>(3*3*2)</f>
        <v>18</v>
      </c>
      <c r="F20" s="25">
        <v>2.5499999999999998</v>
      </c>
      <c r="G20" s="6">
        <f t="shared" si="0"/>
        <v>45.9</v>
      </c>
      <c r="H20" s="3"/>
    </row>
    <row r="21" spans="1:11" ht="38.25">
      <c r="A21" s="14" t="s">
        <v>16</v>
      </c>
      <c r="B21" s="7" t="s">
        <v>17</v>
      </c>
      <c r="C21" s="9" t="s">
        <v>30</v>
      </c>
      <c r="D21" s="5" t="s">
        <v>11</v>
      </c>
      <c r="E21" s="13">
        <f>E20</f>
        <v>18</v>
      </c>
      <c r="F21" s="25">
        <v>7.96</v>
      </c>
      <c r="G21" s="6">
        <f>(E21*F21)</f>
        <v>143.28</v>
      </c>
      <c r="H21" s="3"/>
      <c r="J21" s="18"/>
      <c r="K21" s="18"/>
    </row>
    <row r="22" spans="1:11" ht="25.5">
      <c r="A22" s="14">
        <v>88487</v>
      </c>
      <c r="B22" s="28"/>
      <c r="C22" s="9" t="s">
        <v>31</v>
      </c>
      <c r="D22" s="5" t="s">
        <v>11</v>
      </c>
      <c r="E22" s="29">
        <f>(E20)</f>
        <v>18</v>
      </c>
      <c r="F22" s="25">
        <v>7.46</v>
      </c>
      <c r="G22" s="30">
        <f>(E22*F22)</f>
        <v>134.28</v>
      </c>
      <c r="H22" s="3"/>
      <c r="J22" s="18"/>
      <c r="K22" s="18"/>
    </row>
    <row r="23" spans="1:11">
      <c r="A23" s="35"/>
      <c r="B23" s="28"/>
      <c r="C23" s="1" t="s">
        <v>18</v>
      </c>
      <c r="D23" s="1"/>
      <c r="E23" s="1"/>
      <c r="F23" s="1"/>
      <c r="G23" s="38">
        <f>SUM(G14:G22)</f>
        <v>1616.7992400000003</v>
      </c>
      <c r="H23" s="3"/>
    </row>
    <row r="24" spans="1:11">
      <c r="A24" s="28"/>
      <c r="B24" s="28"/>
      <c r="C24" s="8"/>
      <c r="D24" s="26"/>
      <c r="E24" s="33"/>
      <c r="F24" s="44"/>
      <c r="G24" s="30"/>
      <c r="H24" s="3"/>
    </row>
    <row r="25" spans="1:11">
      <c r="A25" s="26"/>
      <c r="B25" s="26"/>
      <c r="C25" s="8"/>
      <c r="D25" s="26"/>
      <c r="E25" s="45"/>
      <c r="F25" s="44"/>
      <c r="G25" s="30"/>
      <c r="H25" s="3"/>
    </row>
    <row r="26" spans="1:11">
      <c r="A26" s="26"/>
      <c r="B26" s="26"/>
      <c r="C26" s="1" t="s">
        <v>32</v>
      </c>
      <c r="D26" s="1"/>
      <c r="E26" s="1"/>
      <c r="F26" s="1"/>
      <c r="G26" s="46">
        <f>(G10+G23)</f>
        <v>2130.1592400000004</v>
      </c>
      <c r="H26" s="3"/>
    </row>
    <row r="27" spans="1:11">
      <c r="A27" s="26"/>
      <c r="B27" s="26"/>
      <c r="C27" s="8" t="s">
        <v>14</v>
      </c>
      <c r="D27" s="26"/>
      <c r="E27" s="47">
        <v>0.28239999999999998</v>
      </c>
      <c r="F27" s="41"/>
      <c r="G27" s="48"/>
      <c r="H27" s="3"/>
    </row>
    <row r="28" spans="1:11">
      <c r="A28" s="26"/>
      <c r="B28" s="26"/>
      <c r="C28" s="1" t="s">
        <v>20</v>
      </c>
      <c r="D28" s="1"/>
      <c r="E28" s="1"/>
      <c r="F28" s="1"/>
      <c r="G28" s="49">
        <f>(G26*1.2824)</f>
        <v>2731.7162093760003</v>
      </c>
      <c r="H28" s="3"/>
    </row>
    <row r="29" spans="1:11">
      <c r="A29" s="26"/>
      <c r="B29" s="26"/>
      <c r="C29" s="8"/>
      <c r="D29" s="26"/>
      <c r="E29" s="45"/>
      <c r="F29" s="41"/>
      <c r="G29" s="30"/>
      <c r="H29" s="3"/>
    </row>
    <row r="30" spans="1:11">
      <c r="A30" s="10"/>
      <c r="B30" s="11"/>
      <c r="C30" s="11"/>
      <c r="D30" s="11"/>
      <c r="E30" s="11"/>
      <c r="F30" s="4"/>
      <c r="G30" s="11"/>
      <c r="H30" s="3"/>
    </row>
    <row r="31" spans="1:11">
      <c r="A31" s="3"/>
      <c r="B31" s="3"/>
      <c r="C31" s="3"/>
      <c r="D31" s="3"/>
      <c r="E31" s="3"/>
      <c r="F31" s="3"/>
      <c r="G31" s="3"/>
      <c r="H31" s="3"/>
    </row>
  </sheetData>
  <mergeCells count="4">
    <mergeCell ref="C10:F10"/>
    <mergeCell ref="C23:F23"/>
    <mergeCell ref="C26:F26"/>
    <mergeCell ref="C28:F28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9"/>
  <sheetViews>
    <sheetView view="pageLayout" topLeftCell="A13" zoomScaleNormal="100" workbookViewId="0">
      <selection activeCell="A13" sqref="A1:XFD1048576"/>
    </sheetView>
  </sheetViews>
  <sheetFormatPr defaultRowHeight="15"/>
  <cols>
    <col min="1" max="1" width="11.42578125" customWidth="1"/>
    <col min="2" max="2" width="14.7109375" customWidth="1"/>
    <col min="3" max="3" width="10.140625" customWidth="1"/>
    <col min="4" max="4" width="55.28515625" customWidth="1"/>
    <col min="6" max="6" width="9.28515625" bestFit="1" customWidth="1"/>
    <col min="7" max="7" width="10.42578125" customWidth="1"/>
    <col min="8" max="8" width="20.28515625" customWidth="1"/>
    <col min="9" max="9" width="14.42578125" customWidth="1"/>
    <col min="10" max="10" width="12.7109375" customWidth="1"/>
  </cols>
  <sheetData>
    <row r="1" spans="1:11">
      <c r="A1" s="360"/>
      <c r="B1" s="360"/>
      <c r="C1" s="361"/>
      <c r="D1" s="362"/>
      <c r="E1" s="362"/>
      <c r="F1" s="362"/>
      <c r="G1" s="362"/>
      <c r="H1" s="363"/>
    </row>
    <row r="2" spans="1:11">
      <c r="A2" s="360"/>
      <c r="B2" s="360"/>
      <c r="C2" s="364"/>
      <c r="D2" s="365"/>
      <c r="E2" s="365"/>
      <c r="F2" s="365"/>
      <c r="G2" s="365"/>
      <c r="H2" s="366"/>
    </row>
    <row r="3" spans="1:11">
      <c r="A3" s="360"/>
      <c r="B3" s="360"/>
      <c r="C3" s="364"/>
      <c r="D3" s="365"/>
      <c r="E3" s="365"/>
      <c r="F3" s="365"/>
      <c r="G3" s="365"/>
      <c r="H3" s="366"/>
    </row>
    <row r="4" spans="1:11">
      <c r="A4" s="360"/>
      <c r="B4" s="360"/>
      <c r="C4" s="364"/>
      <c r="D4" s="365"/>
      <c r="E4" s="365"/>
      <c r="F4" s="365"/>
      <c r="G4" s="365"/>
      <c r="H4" s="366"/>
    </row>
    <row r="5" spans="1:11" ht="15.75" thickBot="1">
      <c r="A5" s="360"/>
      <c r="B5" s="360"/>
      <c r="C5" s="367"/>
      <c r="D5" s="368"/>
      <c r="E5" s="368"/>
      <c r="F5" s="368"/>
      <c r="G5" s="368"/>
      <c r="H5" s="369"/>
    </row>
    <row r="6" spans="1:11">
      <c r="A6" s="55" t="s">
        <v>88</v>
      </c>
      <c r="B6" s="56"/>
      <c r="C6" s="56"/>
      <c r="D6" s="56"/>
      <c r="E6" s="56"/>
      <c r="F6" s="211"/>
      <c r="G6" s="212"/>
      <c r="H6" s="213"/>
      <c r="I6" s="60"/>
      <c r="J6" s="60"/>
      <c r="K6" s="60"/>
    </row>
    <row r="7" spans="1:11" ht="26.25" thickBot="1">
      <c r="A7" s="61" t="s">
        <v>33</v>
      </c>
      <c r="B7" s="62"/>
      <c r="C7" s="62"/>
      <c r="D7" s="62"/>
      <c r="E7" s="62"/>
      <c r="F7" s="63" t="s">
        <v>34</v>
      </c>
      <c r="G7" s="64"/>
      <c r="H7" s="214"/>
      <c r="I7" s="60"/>
      <c r="J7" s="60"/>
      <c r="K7" s="60"/>
    </row>
    <row r="8" spans="1:11">
      <c r="A8" s="370"/>
      <c r="B8" s="370"/>
      <c r="C8" s="370"/>
      <c r="D8" s="370"/>
      <c r="E8" s="370"/>
      <c r="F8" s="370"/>
      <c r="G8" s="370"/>
      <c r="H8" s="371"/>
      <c r="I8" s="60"/>
      <c r="J8" s="60"/>
      <c r="K8" s="60"/>
    </row>
    <row r="9" spans="1:11">
      <c r="A9" s="372"/>
      <c r="B9" s="372"/>
      <c r="C9" s="372"/>
      <c r="D9" s="372"/>
      <c r="E9" s="372"/>
      <c r="F9" s="372"/>
      <c r="G9" s="372"/>
      <c r="H9" s="373"/>
      <c r="I9" s="60"/>
      <c r="J9" s="60"/>
      <c r="K9" s="60"/>
    </row>
    <row r="10" spans="1:11" ht="15.75" thickBot="1">
      <c r="A10" s="374"/>
      <c r="B10" s="374"/>
      <c r="C10" s="374"/>
      <c r="D10" s="374"/>
      <c r="E10" s="374"/>
      <c r="F10" s="374"/>
      <c r="G10" s="374"/>
      <c r="H10" s="375"/>
      <c r="I10" s="60"/>
      <c r="J10" s="60"/>
      <c r="K10" s="60"/>
    </row>
    <row r="11" spans="1:11" ht="15.75" thickBot="1">
      <c r="A11" s="66"/>
      <c r="B11" s="66"/>
      <c r="C11" s="66"/>
      <c r="D11" s="67"/>
      <c r="E11" s="68"/>
      <c r="F11" s="69"/>
      <c r="G11" s="70"/>
      <c r="H11" s="71"/>
      <c r="I11" s="60"/>
      <c r="J11" s="60"/>
      <c r="K11" s="60"/>
    </row>
    <row r="12" spans="1:11" ht="26.25" thickBot="1">
      <c r="A12" s="72" t="s">
        <v>35</v>
      </c>
      <c r="B12" s="72" t="s">
        <v>36</v>
      </c>
      <c r="C12" s="72" t="s">
        <v>37</v>
      </c>
      <c r="D12" s="73" t="s">
        <v>38</v>
      </c>
      <c r="E12" s="72" t="s">
        <v>39</v>
      </c>
      <c r="F12" s="74" t="s">
        <v>40</v>
      </c>
      <c r="G12" s="75" t="s">
        <v>41</v>
      </c>
      <c r="H12" s="75" t="s">
        <v>42</v>
      </c>
      <c r="I12" s="60"/>
      <c r="J12" s="60"/>
      <c r="K12" s="60"/>
    </row>
    <row r="13" spans="1:11">
      <c r="A13" s="215"/>
      <c r="B13" s="216"/>
      <c r="C13" s="216"/>
      <c r="D13" s="217"/>
      <c r="E13" s="218"/>
      <c r="F13" s="219"/>
      <c r="G13" s="220"/>
      <c r="H13" s="221"/>
      <c r="I13" s="60"/>
      <c r="J13" s="60"/>
      <c r="K13" s="60"/>
    </row>
    <row r="14" spans="1:11" ht="38.25">
      <c r="A14" s="83" t="s">
        <v>43</v>
      </c>
      <c r="B14" s="84"/>
      <c r="C14" s="84"/>
      <c r="D14" s="147" t="s">
        <v>143</v>
      </c>
      <c r="E14" s="85"/>
      <c r="F14" s="86"/>
      <c r="G14" s="86"/>
      <c r="H14" s="87"/>
      <c r="I14" s="60"/>
      <c r="J14" s="60"/>
    </row>
    <row r="15" spans="1:11" ht="38.25">
      <c r="A15" s="222" t="s">
        <v>44</v>
      </c>
      <c r="B15" s="223">
        <v>84152</v>
      </c>
      <c r="C15" s="224" t="s">
        <v>10</v>
      </c>
      <c r="D15" s="225" t="s">
        <v>122</v>
      </c>
      <c r="E15" s="224" t="s">
        <v>51</v>
      </c>
      <c r="F15" s="226">
        <f>(39.5*0.12*0.4)+(16*0.15*0.12*2.8)</f>
        <v>2.7023999999999999</v>
      </c>
      <c r="G15" s="227">
        <v>265.27</v>
      </c>
      <c r="H15" s="228">
        <f>F15*G15</f>
        <v>716.86564799999996</v>
      </c>
      <c r="I15" s="60"/>
      <c r="J15" s="60"/>
    </row>
    <row r="16" spans="1:11">
      <c r="A16" s="222" t="s">
        <v>46</v>
      </c>
      <c r="B16" s="229" t="s">
        <v>119</v>
      </c>
      <c r="C16" s="224" t="s">
        <v>10</v>
      </c>
      <c r="D16" s="225" t="s">
        <v>121</v>
      </c>
      <c r="E16" s="224" t="s">
        <v>51</v>
      </c>
      <c r="F16" s="226">
        <v>67.98</v>
      </c>
      <c r="G16" s="227">
        <v>78.02</v>
      </c>
      <c r="H16" s="228">
        <f t="shared" ref="H16:H19" si="0">F16*G16</f>
        <v>5303.7996000000003</v>
      </c>
      <c r="I16" s="205"/>
      <c r="J16" s="60"/>
    </row>
    <row r="17" spans="1:16" ht="31.5" customHeight="1">
      <c r="A17" s="222" t="s">
        <v>83</v>
      </c>
      <c r="B17" s="224">
        <v>93358</v>
      </c>
      <c r="C17" s="224" t="s">
        <v>10</v>
      </c>
      <c r="D17" s="210" t="s">
        <v>50</v>
      </c>
      <c r="E17" s="224" t="s">
        <v>51</v>
      </c>
      <c r="F17" s="230">
        <f>(39.5*0.3*0.5)</f>
        <v>5.9249999999999998</v>
      </c>
      <c r="G17" s="231">
        <v>54.96</v>
      </c>
      <c r="H17" s="228">
        <f t="shared" si="0"/>
        <v>325.63799999999998</v>
      </c>
      <c r="I17" s="102"/>
      <c r="J17" s="102"/>
    </row>
    <row r="18" spans="1:16">
      <c r="A18" s="222" t="s">
        <v>117</v>
      </c>
      <c r="B18" s="224">
        <v>72961</v>
      </c>
      <c r="C18" s="224" t="s">
        <v>10</v>
      </c>
      <c r="D18" s="210" t="s">
        <v>53</v>
      </c>
      <c r="E18" s="224" t="s">
        <v>45</v>
      </c>
      <c r="F18" s="232">
        <f>(39.5*0.3)</f>
        <v>11.85</v>
      </c>
      <c r="G18" s="231">
        <v>1.23</v>
      </c>
      <c r="H18" s="228">
        <f t="shared" si="0"/>
        <v>14.5755</v>
      </c>
      <c r="I18" s="102"/>
      <c r="J18" s="102"/>
    </row>
    <row r="19" spans="1:16">
      <c r="A19" s="222" t="s">
        <v>118</v>
      </c>
      <c r="B19" s="224" t="s">
        <v>55</v>
      </c>
      <c r="C19" s="224" t="s">
        <v>10</v>
      </c>
      <c r="D19" s="210" t="s">
        <v>56</v>
      </c>
      <c r="E19" s="224" t="s">
        <v>51</v>
      </c>
      <c r="F19" s="230">
        <f>(0.3*F17)</f>
        <v>1.7774999999999999</v>
      </c>
      <c r="G19" s="231">
        <v>41.68</v>
      </c>
      <c r="H19" s="228">
        <f t="shared" si="0"/>
        <v>74.086199999999991</v>
      </c>
      <c r="I19" s="102"/>
      <c r="J19" s="102"/>
    </row>
    <row r="20" spans="1:16">
      <c r="A20" s="358" t="s">
        <v>47</v>
      </c>
      <c r="B20" s="359"/>
      <c r="C20" s="359"/>
      <c r="D20" s="359"/>
      <c r="E20" s="359"/>
      <c r="F20" s="359"/>
      <c r="G20" s="359"/>
      <c r="H20" s="128">
        <f>SUM(H15:H19)</f>
        <v>6434.9649479999998</v>
      </c>
      <c r="I20" s="60"/>
      <c r="J20" s="60"/>
    </row>
    <row r="21" spans="1:16">
      <c r="A21" s="233"/>
      <c r="B21" s="234"/>
      <c r="C21" s="234"/>
      <c r="D21" s="234"/>
      <c r="E21" s="235"/>
      <c r="F21" s="236"/>
      <c r="G21" s="237"/>
      <c r="H21" s="238"/>
      <c r="I21" s="60"/>
      <c r="J21" s="60"/>
    </row>
    <row r="22" spans="1:16" ht="38.25">
      <c r="A22" s="83" t="s">
        <v>48</v>
      </c>
      <c r="B22" s="84"/>
      <c r="C22" s="84"/>
      <c r="D22" s="147" t="s">
        <v>124</v>
      </c>
      <c r="E22" s="85"/>
      <c r="F22" s="86"/>
      <c r="G22" s="86"/>
      <c r="H22" s="87"/>
      <c r="I22" s="60"/>
      <c r="J22" s="60"/>
    </row>
    <row r="23" spans="1:16">
      <c r="A23" s="222" t="s">
        <v>49</v>
      </c>
      <c r="B23" s="223">
        <v>5651</v>
      </c>
      <c r="C23" s="224" t="s">
        <v>10</v>
      </c>
      <c r="D23" s="239" t="s">
        <v>123</v>
      </c>
      <c r="E23" s="223" t="s">
        <v>45</v>
      </c>
      <c r="F23" s="240">
        <f>(39.5*0.4*2)</f>
        <v>31.6</v>
      </c>
      <c r="G23" s="241">
        <v>26.68</v>
      </c>
      <c r="H23" s="228">
        <f t="shared" ref="H23:H24" si="1">F23*G23</f>
        <v>843.08800000000008</v>
      </c>
    </row>
    <row r="24" spans="1:16" ht="25.5">
      <c r="A24" s="222" t="s">
        <v>52</v>
      </c>
      <c r="B24" s="223">
        <v>92919</v>
      </c>
      <c r="C24" s="224" t="s">
        <v>10</v>
      </c>
      <c r="D24" s="210" t="s">
        <v>146</v>
      </c>
      <c r="E24" s="223" t="s">
        <v>63</v>
      </c>
      <c r="F24" s="240">
        <f>(80*F26)</f>
        <v>252.8</v>
      </c>
      <c r="G24" s="241">
        <v>7.26</v>
      </c>
      <c r="H24" s="228">
        <f t="shared" si="1"/>
        <v>1835.328</v>
      </c>
      <c r="K24" s="107"/>
    </row>
    <row r="25" spans="1:16" ht="25.5">
      <c r="A25" s="222" t="s">
        <v>54</v>
      </c>
      <c r="B25" s="223">
        <v>92784</v>
      </c>
      <c r="C25" s="224" t="s">
        <v>10</v>
      </c>
      <c r="D25" s="210" t="s">
        <v>69</v>
      </c>
      <c r="E25" s="223" t="s">
        <v>63</v>
      </c>
      <c r="F25" s="240">
        <f>(20*F26)</f>
        <v>63.2</v>
      </c>
      <c r="G25" s="241">
        <v>8.48</v>
      </c>
      <c r="H25" s="228">
        <f>F25*G25</f>
        <v>535.93600000000004</v>
      </c>
      <c r="K25" s="107"/>
    </row>
    <row r="26" spans="1:16" ht="34.5" customHeight="1">
      <c r="A26" s="222" t="s">
        <v>84</v>
      </c>
      <c r="B26" s="242" t="s">
        <v>64</v>
      </c>
      <c r="C26" s="224" t="s">
        <v>10</v>
      </c>
      <c r="D26" s="210" t="s">
        <v>65</v>
      </c>
      <c r="E26" s="223" t="s">
        <v>51</v>
      </c>
      <c r="F26" s="240">
        <f>(39.5*0.2*0.4)</f>
        <v>3.16</v>
      </c>
      <c r="G26" s="241">
        <f>(301.23+143.61)</f>
        <v>444.84000000000003</v>
      </c>
      <c r="H26" s="228">
        <f>F26*G26</f>
        <v>1405.6944000000001</v>
      </c>
      <c r="K26" s="107"/>
    </row>
    <row r="27" spans="1:16">
      <c r="A27" s="358" t="s">
        <v>57</v>
      </c>
      <c r="B27" s="359"/>
      <c r="C27" s="359"/>
      <c r="D27" s="359"/>
      <c r="E27" s="359"/>
      <c r="F27" s="359"/>
      <c r="G27" s="359"/>
      <c r="H27" s="128">
        <f>SUM(H23:H26)</f>
        <v>4620.0464000000002</v>
      </c>
      <c r="I27" s="60"/>
      <c r="J27" s="60"/>
      <c r="K27" s="109"/>
      <c r="L27" s="60"/>
      <c r="M27" s="60"/>
      <c r="N27" s="60"/>
      <c r="O27" s="60"/>
      <c r="P27" s="60"/>
    </row>
    <row r="28" spans="1:16">
      <c r="A28" s="233"/>
      <c r="B28" s="234"/>
      <c r="C28" s="234"/>
      <c r="D28" s="234"/>
      <c r="E28" s="235"/>
      <c r="F28" s="236"/>
      <c r="G28" s="237"/>
      <c r="H28" s="238"/>
      <c r="I28" s="60"/>
      <c r="J28" s="60"/>
      <c r="K28" s="79"/>
      <c r="L28" s="60"/>
      <c r="M28" s="60"/>
      <c r="N28" s="60"/>
      <c r="O28" s="60"/>
      <c r="P28" s="60"/>
    </row>
    <row r="29" spans="1:16" ht="38.25">
      <c r="A29" s="83" t="s">
        <v>58</v>
      </c>
      <c r="B29" s="84"/>
      <c r="C29" s="84"/>
      <c r="D29" s="134" t="s">
        <v>132</v>
      </c>
      <c r="E29" s="85"/>
      <c r="F29" s="209"/>
      <c r="G29" s="86"/>
      <c r="H29" s="87"/>
      <c r="I29" s="60"/>
      <c r="J29" s="60"/>
      <c r="K29" s="60"/>
      <c r="L29" s="60"/>
      <c r="M29" s="60"/>
      <c r="N29" s="60"/>
      <c r="O29" s="60"/>
      <c r="P29" s="60"/>
    </row>
    <row r="30" spans="1:16" ht="38.25">
      <c r="A30" s="243" t="s">
        <v>59</v>
      </c>
      <c r="B30" s="223">
        <v>5651</v>
      </c>
      <c r="C30" s="224" t="s">
        <v>10</v>
      </c>
      <c r="D30" s="210" t="s">
        <v>127</v>
      </c>
      <c r="E30" s="223" t="s">
        <v>45</v>
      </c>
      <c r="F30" s="244">
        <f>(80.5*0.2)*2+(0.2*0.6*2)*32</f>
        <v>39.880000000000003</v>
      </c>
      <c r="G30" s="241">
        <v>26.68</v>
      </c>
      <c r="H30" s="228">
        <f>F30*G30</f>
        <v>1063.9983999999999</v>
      </c>
      <c r="I30" s="102"/>
      <c r="J30" s="102"/>
      <c r="K30" s="102"/>
      <c r="L30" s="102"/>
      <c r="M30" s="102"/>
      <c r="N30" s="102"/>
      <c r="O30" s="102"/>
      <c r="P30" s="102"/>
    </row>
    <row r="31" spans="1:16" ht="25.5">
      <c r="A31" s="243" t="s">
        <v>60</v>
      </c>
      <c r="B31" s="223">
        <v>92919</v>
      </c>
      <c r="C31" s="224" t="s">
        <v>10</v>
      </c>
      <c r="D31" s="210" t="s">
        <v>145</v>
      </c>
      <c r="E31" s="223" t="s">
        <v>63</v>
      </c>
      <c r="F31" s="244">
        <f>(80*F33)</f>
        <v>159.52000000000004</v>
      </c>
      <c r="G31" s="241">
        <v>7.26</v>
      </c>
      <c r="H31" s="228">
        <f t="shared" ref="H31:H33" si="2">F31*G31</f>
        <v>1158.1152000000002</v>
      </c>
      <c r="I31" s="102"/>
      <c r="J31" s="102"/>
      <c r="K31" s="102"/>
      <c r="L31" s="102"/>
      <c r="M31" s="102"/>
      <c r="N31" s="102"/>
      <c r="O31" s="102"/>
      <c r="P31" s="102"/>
    </row>
    <row r="32" spans="1:16" ht="25.5">
      <c r="A32" s="243" t="s">
        <v>61</v>
      </c>
      <c r="B32" s="223">
        <v>92784</v>
      </c>
      <c r="C32" s="224" t="s">
        <v>10</v>
      </c>
      <c r="D32" s="210" t="s">
        <v>69</v>
      </c>
      <c r="E32" s="223" t="s">
        <v>63</v>
      </c>
      <c r="F32" s="230">
        <f>(20*F33)</f>
        <v>39.88000000000001</v>
      </c>
      <c r="G32" s="241">
        <v>8.48</v>
      </c>
      <c r="H32" s="228">
        <f t="shared" si="2"/>
        <v>338.18240000000009</v>
      </c>
      <c r="I32" s="102"/>
      <c r="J32" s="102"/>
      <c r="K32" s="102"/>
      <c r="L32" s="102"/>
      <c r="M32" s="102"/>
      <c r="N32" s="102"/>
      <c r="O32" s="102"/>
      <c r="P32" s="102"/>
    </row>
    <row r="33" spans="1:16" ht="51">
      <c r="A33" s="243" t="s">
        <v>62</v>
      </c>
      <c r="B33" s="242" t="s">
        <v>64</v>
      </c>
      <c r="C33" s="224" t="s">
        <v>10</v>
      </c>
      <c r="D33" s="210" t="s">
        <v>128</v>
      </c>
      <c r="E33" s="223" t="s">
        <v>51</v>
      </c>
      <c r="F33" s="230">
        <f>(0.2*0.1*0.6)*32+(80.5*0.2*0.1)</f>
        <v>1.9940000000000004</v>
      </c>
      <c r="G33" s="241">
        <v>444.84</v>
      </c>
      <c r="H33" s="228">
        <f t="shared" si="2"/>
        <v>887.01096000000018</v>
      </c>
      <c r="I33" s="102"/>
      <c r="J33" s="203"/>
      <c r="K33" s="102"/>
      <c r="L33" s="102"/>
      <c r="M33" s="102"/>
      <c r="N33" s="102"/>
      <c r="O33" s="102"/>
      <c r="P33" s="102"/>
    </row>
    <row r="34" spans="1:16">
      <c r="A34" s="358" t="s">
        <v>66</v>
      </c>
      <c r="B34" s="359"/>
      <c r="C34" s="359"/>
      <c r="D34" s="359"/>
      <c r="E34" s="359"/>
      <c r="F34" s="359"/>
      <c r="G34" s="359"/>
      <c r="H34" s="128">
        <f>SUM(H30:H33)</f>
        <v>3447.3069600000003</v>
      </c>
      <c r="I34" s="119"/>
      <c r="J34" s="60"/>
    </row>
    <row r="35" spans="1:16">
      <c r="A35" s="122"/>
      <c r="B35" s="123"/>
      <c r="C35" s="123"/>
      <c r="D35" s="123"/>
      <c r="E35" s="123"/>
      <c r="F35" s="123"/>
      <c r="G35" s="123"/>
      <c r="H35" s="206"/>
      <c r="I35" s="119"/>
      <c r="J35" s="60"/>
    </row>
    <row r="36" spans="1:16" ht="63.75">
      <c r="A36" s="83" t="s">
        <v>67</v>
      </c>
      <c r="B36" s="84"/>
      <c r="C36" s="84"/>
      <c r="D36" s="134" t="s">
        <v>133</v>
      </c>
      <c r="E36" s="85"/>
      <c r="F36" s="86"/>
      <c r="G36" s="86"/>
      <c r="H36" s="87"/>
      <c r="I36" s="119"/>
      <c r="J36" s="60"/>
    </row>
    <row r="37" spans="1:16" ht="38.25">
      <c r="A37" s="243" t="s">
        <v>68</v>
      </c>
      <c r="B37" s="223">
        <v>5651</v>
      </c>
      <c r="C37" s="224" t="s">
        <v>10</v>
      </c>
      <c r="D37" s="210" t="s">
        <v>125</v>
      </c>
      <c r="E37" s="223" t="s">
        <v>45</v>
      </c>
      <c r="F37" s="244">
        <f>(0.2*2.8*2*16)+(39.5*0.2*2)</f>
        <v>33.72</v>
      </c>
      <c r="G37" s="241">
        <v>26.68</v>
      </c>
      <c r="H37" s="228">
        <f>F37*G37</f>
        <v>899.64959999999996</v>
      </c>
      <c r="I37" s="119"/>
      <c r="J37" s="60"/>
    </row>
    <row r="38" spans="1:16" ht="25.5">
      <c r="A38" s="243" t="s">
        <v>129</v>
      </c>
      <c r="B38" s="223">
        <v>92919</v>
      </c>
      <c r="C38" s="224" t="s">
        <v>10</v>
      </c>
      <c r="D38" s="210" t="s">
        <v>145</v>
      </c>
      <c r="E38" s="223" t="s">
        <v>63</v>
      </c>
      <c r="F38" s="244">
        <f>(80*F40)</f>
        <v>134.88000000000002</v>
      </c>
      <c r="G38" s="241">
        <v>7.26</v>
      </c>
      <c r="H38" s="228">
        <f t="shared" ref="H38:H40" si="3">F38*G38</f>
        <v>979.22880000000009</v>
      </c>
      <c r="I38" s="119"/>
      <c r="J38" s="60"/>
    </row>
    <row r="39" spans="1:16" ht="25.5">
      <c r="A39" s="243" t="s">
        <v>130</v>
      </c>
      <c r="B39" s="223">
        <v>92784</v>
      </c>
      <c r="C39" s="224" t="s">
        <v>10</v>
      </c>
      <c r="D39" s="210" t="s">
        <v>69</v>
      </c>
      <c r="E39" s="223" t="s">
        <v>63</v>
      </c>
      <c r="F39" s="230">
        <f>(20*F40)</f>
        <v>33.720000000000006</v>
      </c>
      <c r="G39" s="241">
        <v>8.48</v>
      </c>
      <c r="H39" s="228">
        <f t="shared" si="3"/>
        <v>285.94560000000007</v>
      </c>
      <c r="I39" s="119"/>
      <c r="J39" s="60"/>
    </row>
    <row r="40" spans="1:16" ht="51">
      <c r="A40" s="243" t="s">
        <v>131</v>
      </c>
      <c r="B40" s="242" t="s">
        <v>64</v>
      </c>
      <c r="C40" s="224" t="s">
        <v>10</v>
      </c>
      <c r="D40" s="210" t="s">
        <v>126</v>
      </c>
      <c r="E40" s="223" t="s">
        <v>51</v>
      </c>
      <c r="F40" s="230">
        <f>(0.2 * 0.1 * 2.8 * 16) + (39.5 * 0.2 * 0.1 )</f>
        <v>1.6860000000000002</v>
      </c>
      <c r="G40" s="241">
        <v>444.84</v>
      </c>
      <c r="H40" s="228">
        <f t="shared" si="3"/>
        <v>750.00024000000008</v>
      </c>
      <c r="I40" s="119"/>
      <c r="J40" s="60"/>
    </row>
    <row r="41" spans="1:16">
      <c r="A41" s="358" t="s">
        <v>70</v>
      </c>
      <c r="B41" s="359"/>
      <c r="C41" s="359"/>
      <c r="D41" s="359"/>
      <c r="E41" s="359"/>
      <c r="F41" s="359"/>
      <c r="G41" s="359"/>
      <c r="H41" s="128">
        <f>SUM(H37:H40)</f>
        <v>2914.8242399999999</v>
      </c>
      <c r="I41" s="119"/>
      <c r="J41" s="60"/>
    </row>
    <row r="42" spans="1:16">
      <c r="A42" s="122"/>
      <c r="B42" s="123"/>
      <c r="C42" s="123"/>
      <c r="D42" s="123"/>
      <c r="E42" s="123"/>
      <c r="F42" s="123"/>
      <c r="G42" s="123"/>
      <c r="H42" s="206"/>
      <c r="I42" s="119"/>
      <c r="J42" s="60"/>
    </row>
    <row r="43" spans="1:16" ht="25.5">
      <c r="A43" s="207" t="s">
        <v>71</v>
      </c>
      <c r="B43" s="153"/>
      <c r="C43" s="154"/>
      <c r="D43" s="155" t="s">
        <v>147</v>
      </c>
      <c r="E43" s="156"/>
      <c r="F43" s="157"/>
      <c r="G43" s="158"/>
      <c r="H43" s="208"/>
      <c r="I43" s="60"/>
      <c r="J43" s="60"/>
    </row>
    <row r="44" spans="1:16" ht="51">
      <c r="A44" s="243" t="s">
        <v>72</v>
      </c>
      <c r="B44" s="245">
        <v>87501</v>
      </c>
      <c r="C44" s="246" t="s">
        <v>10</v>
      </c>
      <c r="D44" s="247" t="s">
        <v>148</v>
      </c>
      <c r="E44" s="223" t="s">
        <v>45</v>
      </c>
      <c r="F44" s="248">
        <f>(2.1*2.8*4)*4</f>
        <v>94.08</v>
      </c>
      <c r="G44" s="249">
        <v>110.26</v>
      </c>
      <c r="H44" s="228">
        <f t="shared" ref="H44" si="4">F44*G44</f>
        <v>10373.2608</v>
      </c>
      <c r="I44" s="60"/>
      <c r="J44" s="60"/>
    </row>
    <row r="45" spans="1:16">
      <c r="A45" s="358" t="s">
        <v>73</v>
      </c>
      <c r="B45" s="359"/>
      <c r="C45" s="359"/>
      <c r="D45" s="359"/>
      <c r="E45" s="359"/>
      <c r="F45" s="359"/>
      <c r="G45" s="359"/>
      <c r="H45" s="128">
        <f>H44</f>
        <v>10373.2608</v>
      </c>
      <c r="I45" s="60"/>
      <c r="J45" s="60"/>
    </row>
    <row r="46" spans="1:16">
      <c r="A46" s="250"/>
      <c r="B46" s="251"/>
      <c r="C46" s="251"/>
      <c r="D46" s="251"/>
      <c r="E46" s="252"/>
      <c r="F46" s="253"/>
      <c r="G46" s="254"/>
      <c r="H46" s="255"/>
      <c r="I46" s="60"/>
      <c r="J46" s="60"/>
    </row>
    <row r="47" spans="1:16">
      <c r="A47" s="83" t="s">
        <v>74</v>
      </c>
      <c r="B47" s="84"/>
      <c r="C47" s="84"/>
      <c r="D47" s="85" t="s">
        <v>134</v>
      </c>
      <c r="E47" s="85"/>
      <c r="F47" s="86"/>
      <c r="G47" s="86"/>
      <c r="H47" s="87"/>
      <c r="I47" s="60"/>
      <c r="J47" s="60"/>
      <c r="K47" s="60"/>
    </row>
    <row r="48" spans="1:16" ht="38.25">
      <c r="A48" s="222" t="s">
        <v>75</v>
      </c>
      <c r="B48" s="256">
        <v>87904</v>
      </c>
      <c r="C48" s="257" t="s">
        <v>10</v>
      </c>
      <c r="D48" s="258" t="s">
        <v>85</v>
      </c>
      <c r="E48" s="257" t="s">
        <v>11</v>
      </c>
      <c r="F48" s="226">
        <f>(39.5*3*2)+(27.5*3*2)+(22*3*2)</f>
        <v>534</v>
      </c>
      <c r="G48" s="260">
        <v>6.02</v>
      </c>
      <c r="H48" s="228">
        <f t="shared" ref="H48:H49" si="5">F48*G48</f>
        <v>3214.68</v>
      </c>
      <c r="I48" s="60"/>
      <c r="J48" s="60"/>
      <c r="K48" s="60"/>
    </row>
    <row r="49" spans="1:16" ht="38.25">
      <c r="A49" s="222" t="s">
        <v>136</v>
      </c>
      <c r="B49" s="256">
        <v>87529</v>
      </c>
      <c r="C49" s="257" t="s">
        <v>10</v>
      </c>
      <c r="D49" s="261" t="s">
        <v>86</v>
      </c>
      <c r="E49" s="257" t="s">
        <v>11</v>
      </c>
      <c r="F49" s="265">
        <f>(F48+31*3*2)</f>
        <v>720</v>
      </c>
      <c r="G49" s="262">
        <v>23.04</v>
      </c>
      <c r="H49" s="228">
        <f t="shared" si="5"/>
        <v>16588.8</v>
      </c>
      <c r="I49" s="117"/>
      <c r="J49" s="117"/>
      <c r="K49" s="117"/>
    </row>
    <row r="50" spans="1:16">
      <c r="A50" s="358" t="s">
        <v>76</v>
      </c>
      <c r="B50" s="359"/>
      <c r="C50" s="359"/>
      <c r="D50" s="359"/>
      <c r="E50" s="359"/>
      <c r="F50" s="359"/>
      <c r="G50" s="359"/>
      <c r="H50" s="128">
        <f>SUM(H48:H49)</f>
        <v>19803.48</v>
      </c>
      <c r="I50" s="60"/>
      <c r="J50" s="60"/>
      <c r="K50" s="60"/>
    </row>
    <row r="51" spans="1:16">
      <c r="A51" s="122"/>
      <c r="B51" s="123"/>
      <c r="C51" s="123"/>
      <c r="D51" s="123"/>
      <c r="E51" s="123"/>
      <c r="F51" s="123"/>
      <c r="G51" s="123"/>
      <c r="H51" s="124"/>
      <c r="I51" s="60"/>
      <c r="J51" s="60"/>
      <c r="K51" s="60"/>
    </row>
    <row r="52" spans="1:16">
      <c r="A52" s="83" t="s">
        <v>77</v>
      </c>
      <c r="B52" s="84"/>
      <c r="C52" s="84"/>
      <c r="D52" s="110" t="s">
        <v>135</v>
      </c>
      <c r="E52" s="85"/>
      <c r="F52" s="86"/>
      <c r="G52" s="86"/>
      <c r="H52" s="87"/>
      <c r="I52" s="117"/>
      <c r="J52" s="117"/>
      <c r="K52" s="117"/>
      <c r="L52" s="60"/>
    </row>
    <row r="53" spans="1:16">
      <c r="A53" s="243" t="s">
        <v>78</v>
      </c>
      <c r="B53" s="256">
        <v>88489</v>
      </c>
      <c r="C53" s="257" t="s">
        <v>10</v>
      </c>
      <c r="D53" s="210" t="s">
        <v>87</v>
      </c>
      <c r="E53" s="263" t="s">
        <v>45</v>
      </c>
      <c r="F53" s="265">
        <f>(120*3*2)</f>
        <v>720</v>
      </c>
      <c r="G53" s="256">
        <v>6.83</v>
      </c>
      <c r="H53" s="228">
        <f t="shared" ref="H53" si="6">F53*G53</f>
        <v>4917.6000000000004</v>
      </c>
      <c r="I53" s="60"/>
      <c r="J53" s="60"/>
      <c r="K53" s="60"/>
      <c r="L53" s="125"/>
    </row>
    <row r="54" spans="1:16">
      <c r="A54" s="358" t="s">
        <v>79</v>
      </c>
      <c r="B54" s="359"/>
      <c r="C54" s="359"/>
      <c r="D54" s="359"/>
      <c r="E54" s="359"/>
      <c r="F54" s="359"/>
      <c r="G54" s="359"/>
      <c r="H54" s="128">
        <f>H53</f>
        <v>4917.6000000000004</v>
      </c>
      <c r="I54" s="60"/>
      <c r="J54" s="60"/>
      <c r="K54" s="60"/>
      <c r="L54" s="60"/>
    </row>
    <row r="55" spans="1:16">
      <c r="A55" s="122"/>
      <c r="B55" s="123"/>
      <c r="C55" s="123"/>
      <c r="D55" s="123"/>
      <c r="E55" s="123"/>
      <c r="F55" s="123"/>
      <c r="G55" s="123"/>
      <c r="H55" s="124"/>
      <c r="I55" s="117"/>
      <c r="J55" s="117"/>
      <c r="K55" s="117"/>
      <c r="L55" s="60"/>
    </row>
    <row r="56" spans="1:16">
      <c r="A56" s="83" t="s">
        <v>137</v>
      </c>
      <c r="B56" s="84"/>
      <c r="C56" s="84"/>
      <c r="D56" s="85" t="s">
        <v>80</v>
      </c>
      <c r="E56" s="85"/>
      <c r="F56" s="86"/>
      <c r="G56" s="86"/>
      <c r="H56" s="87"/>
    </row>
    <row r="57" spans="1:16" ht="25.5">
      <c r="A57" s="222" t="s">
        <v>138</v>
      </c>
      <c r="B57" s="223" t="s">
        <v>90</v>
      </c>
      <c r="C57" s="257" t="s">
        <v>10</v>
      </c>
      <c r="D57" s="225" t="s">
        <v>89</v>
      </c>
      <c r="E57" s="223" t="s">
        <v>45</v>
      </c>
      <c r="F57" s="226">
        <f>(120*2)</f>
        <v>240</v>
      </c>
      <c r="G57" s="259">
        <v>1.1100000000000001</v>
      </c>
      <c r="H57" s="228">
        <f t="shared" ref="H57:H58" si="7">F57*G57</f>
        <v>266.40000000000003</v>
      </c>
    </row>
    <row r="58" spans="1:16" ht="38.25">
      <c r="A58" s="222" t="s">
        <v>139</v>
      </c>
      <c r="B58" s="223">
        <v>94993</v>
      </c>
      <c r="C58" s="257" t="s">
        <v>10</v>
      </c>
      <c r="D58" s="225" t="s">
        <v>149</v>
      </c>
      <c r="E58" s="223" t="s">
        <v>45</v>
      </c>
      <c r="F58" s="226">
        <f>(120*2)</f>
        <v>240</v>
      </c>
      <c r="G58" s="259">
        <v>50.08</v>
      </c>
      <c r="H58" s="228">
        <f t="shared" si="7"/>
        <v>12019.199999999999</v>
      </c>
    </row>
    <row r="59" spans="1:16">
      <c r="A59" s="358" t="s">
        <v>140</v>
      </c>
      <c r="B59" s="359"/>
      <c r="C59" s="359"/>
      <c r="D59" s="359"/>
      <c r="E59" s="359"/>
      <c r="F59" s="359"/>
      <c r="G59" s="359"/>
      <c r="H59" s="128">
        <f>SUM(H57:H58)</f>
        <v>12285.599999999999</v>
      </c>
    </row>
    <row r="60" spans="1:16">
      <c r="A60" s="358" t="s">
        <v>81</v>
      </c>
      <c r="B60" s="359"/>
      <c r="C60" s="359"/>
      <c r="D60" s="359"/>
      <c r="E60" s="359"/>
      <c r="F60" s="359"/>
      <c r="G60" s="359"/>
      <c r="H60" s="128">
        <f>(H59+H54+H50+H45+H41+H34+H27+H20)</f>
        <v>64797.083348</v>
      </c>
      <c r="I60" s="139"/>
    </row>
    <row r="61" spans="1:16" ht="15.75" thickBot="1">
      <c r="A61" s="2" t="s">
        <v>82</v>
      </c>
      <c r="B61" s="354"/>
      <c r="C61" s="354"/>
      <c r="D61" s="354"/>
      <c r="E61" s="354"/>
      <c r="F61" s="354"/>
      <c r="G61" s="355"/>
      <c r="H61" s="140">
        <f>(H60*1.2824)</f>
        <v>83095.779685475194</v>
      </c>
    </row>
    <row r="62" spans="1:16">
      <c r="A62" s="218"/>
      <c r="B62" s="218"/>
      <c r="C62" s="218"/>
      <c r="D62" s="218"/>
      <c r="E62" s="218"/>
      <c r="F62" s="218"/>
      <c r="G62" s="218"/>
      <c r="H62" s="264"/>
    </row>
    <row r="63" spans="1:16">
      <c r="A63" s="356"/>
      <c r="B63" s="356"/>
      <c r="C63" s="356"/>
      <c r="D63" s="356"/>
      <c r="E63" s="356"/>
      <c r="F63" s="356"/>
      <c r="G63" s="79"/>
      <c r="H63" s="60"/>
    </row>
    <row r="64" spans="1:16">
      <c r="A64" s="356"/>
      <c r="B64" s="356"/>
      <c r="C64" s="356"/>
      <c r="D64" s="356"/>
      <c r="E64" s="356"/>
      <c r="F64" s="356"/>
      <c r="G64" s="79"/>
      <c r="H64" s="60"/>
      <c r="I64" s="60"/>
      <c r="J64" s="60"/>
      <c r="K64" s="60"/>
      <c r="L64" s="60"/>
      <c r="M64" s="60"/>
      <c r="N64" s="60"/>
      <c r="O64" s="60"/>
      <c r="P64" s="60"/>
    </row>
    <row r="65" spans="1:16">
      <c r="A65" s="356"/>
      <c r="B65" s="356"/>
      <c r="C65" s="356"/>
      <c r="D65" s="356"/>
      <c r="E65" s="356"/>
      <c r="F65" s="356"/>
      <c r="G65" s="79"/>
      <c r="H65" s="204"/>
      <c r="I65" s="60"/>
      <c r="J65" s="60"/>
      <c r="K65" s="60"/>
      <c r="L65" s="60"/>
      <c r="M65" s="60"/>
      <c r="N65" s="60"/>
      <c r="O65" s="60"/>
      <c r="P65" s="60"/>
    </row>
    <row r="66" spans="1:16">
      <c r="A66" s="356"/>
      <c r="B66" s="356"/>
      <c r="C66" s="356"/>
      <c r="D66" s="356"/>
      <c r="E66" s="356"/>
      <c r="F66" s="356"/>
      <c r="G66" s="79"/>
      <c r="H66" s="60"/>
      <c r="I66" s="60"/>
      <c r="J66" s="60"/>
      <c r="K66" s="60"/>
      <c r="L66" s="60"/>
      <c r="M66" s="60"/>
      <c r="N66" s="60"/>
      <c r="O66" s="60"/>
      <c r="P66" s="60"/>
    </row>
    <row r="67" spans="1:16">
      <c r="A67" s="356"/>
      <c r="B67" s="356"/>
      <c r="C67" s="356"/>
      <c r="D67" s="356"/>
      <c r="E67" s="356"/>
      <c r="F67" s="356"/>
      <c r="G67" s="79"/>
      <c r="H67" s="60"/>
      <c r="I67" s="60"/>
      <c r="J67" s="60"/>
      <c r="K67" s="60"/>
      <c r="L67" s="60"/>
      <c r="M67" s="60"/>
      <c r="N67" s="60"/>
      <c r="O67" s="60"/>
      <c r="P67" s="60"/>
    </row>
    <row r="68" spans="1:16">
      <c r="A68" s="357"/>
      <c r="B68" s="357"/>
      <c r="C68" s="357"/>
      <c r="D68" s="357"/>
      <c r="E68" s="357"/>
      <c r="F68" s="357"/>
      <c r="G68" s="97"/>
      <c r="H68" s="142"/>
      <c r="I68" s="143"/>
      <c r="J68" s="143"/>
      <c r="K68" s="143"/>
      <c r="L68" s="143"/>
      <c r="M68" s="143"/>
      <c r="N68" s="143"/>
      <c r="O68" s="143"/>
      <c r="P68" s="143"/>
    </row>
    <row r="69" spans="1:16">
      <c r="A69" s="357"/>
      <c r="B69" s="357"/>
      <c r="C69" s="357"/>
      <c r="D69" s="357"/>
      <c r="E69" s="357"/>
      <c r="F69" s="357"/>
      <c r="G69" s="97"/>
      <c r="H69" s="142"/>
      <c r="I69" s="143"/>
      <c r="J69" s="143"/>
      <c r="K69" s="143"/>
      <c r="L69" s="143"/>
      <c r="M69" s="143"/>
      <c r="N69" s="143"/>
      <c r="O69" s="143"/>
      <c r="P69" s="143"/>
    </row>
    <row r="70" spans="1:16">
      <c r="A70" s="357"/>
      <c r="B70" s="357"/>
      <c r="C70" s="357"/>
      <c r="D70" s="357"/>
      <c r="E70" s="357"/>
      <c r="F70" s="357"/>
      <c r="G70" s="97"/>
      <c r="H70" s="142"/>
      <c r="I70" s="143"/>
      <c r="J70" s="143"/>
      <c r="K70" s="143"/>
      <c r="L70" s="143"/>
      <c r="M70" s="143"/>
      <c r="N70" s="143"/>
      <c r="O70" s="143"/>
      <c r="P70" s="143"/>
    </row>
    <row r="71" spans="1:16">
      <c r="A71" s="357"/>
      <c r="B71" s="357"/>
      <c r="C71" s="357"/>
      <c r="D71" s="357"/>
      <c r="E71" s="357"/>
      <c r="F71" s="357"/>
      <c r="G71" s="97"/>
      <c r="H71" s="142"/>
      <c r="I71" s="143"/>
      <c r="J71" s="143"/>
      <c r="K71" s="143"/>
      <c r="L71" s="143"/>
      <c r="M71" s="143"/>
      <c r="N71" s="143"/>
      <c r="O71" s="143"/>
      <c r="P71" s="143"/>
    </row>
    <row r="72" spans="1:16">
      <c r="A72" s="138"/>
      <c r="B72" s="138"/>
      <c r="C72" s="138"/>
      <c r="D72" s="138"/>
      <c r="E72" s="138"/>
      <c r="F72" s="138"/>
      <c r="G72" s="138"/>
    </row>
    <row r="74" spans="1:16">
      <c r="A74" s="60"/>
      <c r="B74" s="60"/>
      <c r="C74" s="60"/>
      <c r="D74" s="60"/>
      <c r="E74" s="60"/>
      <c r="F74" s="144"/>
      <c r="G74" s="144"/>
      <c r="H74" s="60"/>
      <c r="I74" s="60"/>
      <c r="J74" s="60"/>
      <c r="K74" s="60"/>
      <c r="L74" s="60"/>
      <c r="M74" s="60"/>
      <c r="N74" s="60"/>
      <c r="O74" s="60"/>
      <c r="P74" s="60"/>
    </row>
    <row r="75" spans="1:16">
      <c r="A75" s="60"/>
      <c r="B75" s="60"/>
      <c r="C75" s="60"/>
      <c r="D75" s="60"/>
      <c r="E75" s="60"/>
      <c r="F75" s="144"/>
      <c r="G75" s="144"/>
      <c r="H75" s="60"/>
      <c r="I75" s="60"/>
      <c r="J75" s="60"/>
      <c r="K75" s="60"/>
      <c r="L75" s="60"/>
      <c r="M75" s="60"/>
      <c r="N75" s="60"/>
      <c r="O75" s="60"/>
      <c r="P75" s="60"/>
    </row>
    <row r="76" spans="1:16">
      <c r="A76" s="60"/>
      <c r="B76" s="60"/>
      <c r="C76" s="60"/>
      <c r="D76" s="60"/>
      <c r="E76" s="145"/>
      <c r="F76" s="146"/>
      <c r="G76" s="144"/>
      <c r="H76" s="144"/>
      <c r="I76" s="60"/>
      <c r="J76" s="60"/>
      <c r="K76" s="60"/>
      <c r="L76" s="60"/>
      <c r="M76" s="60"/>
      <c r="N76" s="60"/>
      <c r="O76" s="60"/>
      <c r="P76" s="60"/>
    </row>
    <row r="77" spans="1:16">
      <c r="A77" s="60"/>
      <c r="B77" s="60"/>
      <c r="C77" s="60"/>
      <c r="D77" s="60"/>
      <c r="E77" s="60"/>
      <c r="F77" s="144"/>
      <c r="G77" s="144"/>
      <c r="H77" s="60"/>
      <c r="I77" s="60"/>
      <c r="J77" s="60"/>
      <c r="K77" s="60"/>
      <c r="L77" s="60"/>
      <c r="M77" s="60"/>
      <c r="N77" s="60"/>
      <c r="O77" s="60"/>
      <c r="P77" s="60"/>
    </row>
    <row r="78" spans="1:16">
      <c r="A78" s="60"/>
      <c r="B78" s="60"/>
      <c r="C78" s="60"/>
      <c r="D78" s="60"/>
      <c r="E78" s="60"/>
      <c r="F78" s="144"/>
      <c r="G78" s="144"/>
      <c r="H78" s="60"/>
      <c r="I78" s="60"/>
      <c r="J78" s="60"/>
      <c r="K78" s="60"/>
      <c r="L78" s="60"/>
      <c r="M78" s="60"/>
      <c r="N78" s="60"/>
      <c r="O78" s="60"/>
      <c r="P78" s="60"/>
    </row>
    <row r="79" spans="1:16">
      <c r="A79" s="60"/>
      <c r="B79" s="60"/>
      <c r="C79" s="60"/>
      <c r="D79" s="60"/>
      <c r="E79" s="60"/>
      <c r="F79" s="144"/>
      <c r="G79" s="144"/>
      <c r="H79" s="60"/>
      <c r="I79" s="60"/>
      <c r="J79" s="60"/>
      <c r="K79" s="60"/>
      <c r="L79" s="60"/>
      <c r="M79" s="60"/>
      <c r="N79" s="60"/>
      <c r="O79" s="60"/>
      <c r="P79" s="60"/>
    </row>
  </sheetData>
  <protectedRanges>
    <protectedRange password="C715" sqref="B49" name="Intervalo3_7_2" securityDescriptor="O:WDG:WDD:(A;;CC;;;S-1-5-21-331323738-3957049979-2397494211-500)"/>
  </protectedRanges>
  <mergeCells count="16">
    <mergeCell ref="A34:G34"/>
    <mergeCell ref="A50:G50"/>
    <mergeCell ref="A54:G54"/>
    <mergeCell ref="A1:B5"/>
    <mergeCell ref="C1:H5"/>
    <mergeCell ref="A8:H10"/>
    <mergeCell ref="A20:G20"/>
    <mergeCell ref="A27:G27"/>
    <mergeCell ref="A41:G41"/>
    <mergeCell ref="A61:G61"/>
    <mergeCell ref="A63:F67"/>
    <mergeCell ref="A68:F69"/>
    <mergeCell ref="A70:F71"/>
    <mergeCell ref="A45:G45"/>
    <mergeCell ref="A59:G59"/>
    <mergeCell ref="A60:G60"/>
  </mergeCells>
  <pageMargins left="0.51181102362204722" right="0.51181102362204722" top="0.78740157480314965" bottom="0.78740157480314965" header="0.31496062992125984" footer="0.31496062992125984"/>
  <pageSetup paperSize="9" scale="96" fitToHeight="3" orientation="landscape" r:id="rId1"/>
  <rowBreaks count="1" manualBreakCount="1">
    <brk id="34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29"/>
  <sheetViews>
    <sheetView workbookViewId="0">
      <selection sqref="A1:XFD1048576"/>
    </sheetView>
  </sheetViews>
  <sheetFormatPr defaultRowHeight="15"/>
  <cols>
    <col min="2" max="2" width="44.42578125" customWidth="1"/>
    <col min="7" max="18" width="0" hidden="1" customWidth="1"/>
    <col min="19" max="19" width="15.28515625" customWidth="1"/>
    <col min="20" max="20" width="10.7109375" customWidth="1"/>
  </cols>
  <sheetData>
    <row r="1" spans="1:29" ht="15" customHeight="1">
      <c r="A1" s="376" t="s">
        <v>104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8"/>
    </row>
    <row r="2" spans="1:29" ht="15.75">
      <c r="A2" s="379" t="s">
        <v>103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1"/>
    </row>
    <row r="3" spans="1:29" ht="15.75" customHeight="1">
      <c r="A3" s="382" t="s">
        <v>105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4"/>
    </row>
    <row r="4" spans="1:29" ht="15.75" thickBot="1">
      <c r="A4" s="164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87"/>
    </row>
    <row r="5" spans="1:29" ht="15" customHeight="1">
      <c r="A5" s="401" t="s">
        <v>91</v>
      </c>
      <c r="B5" s="399" t="s">
        <v>92</v>
      </c>
      <c r="C5" s="399" t="s">
        <v>93</v>
      </c>
      <c r="D5" s="399"/>
      <c r="E5" s="399" t="s">
        <v>94</v>
      </c>
      <c r="F5" s="399"/>
      <c r="G5" s="399" t="s">
        <v>95</v>
      </c>
      <c r="H5" s="399"/>
      <c r="I5" s="399" t="s">
        <v>96</v>
      </c>
      <c r="J5" s="399"/>
      <c r="K5" s="399" t="s">
        <v>97</v>
      </c>
      <c r="L5" s="399"/>
      <c r="M5" s="399" t="s">
        <v>98</v>
      </c>
      <c r="N5" s="399"/>
      <c r="O5" s="399" t="s">
        <v>99</v>
      </c>
      <c r="P5" s="399"/>
      <c r="Q5" s="399" t="s">
        <v>100</v>
      </c>
      <c r="R5" s="399"/>
      <c r="S5" s="395" t="s">
        <v>101</v>
      </c>
      <c r="T5" s="397" t="s">
        <v>102</v>
      </c>
    </row>
    <row r="6" spans="1:29" ht="27" customHeight="1" thickBot="1">
      <c r="A6" s="402"/>
      <c r="B6" s="403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396"/>
      <c r="T6" s="398"/>
    </row>
    <row r="7" spans="1:29" ht="25.5">
      <c r="A7" s="165">
        <v>1</v>
      </c>
      <c r="B7" s="166" t="s">
        <v>144</v>
      </c>
      <c r="C7" s="404">
        <v>1</v>
      </c>
      <c r="D7" s="404"/>
      <c r="E7" s="167"/>
      <c r="F7" s="167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9">
        <f>'Orçamento do muro PMVG'!H20</f>
        <v>6434.9649479999998</v>
      </c>
      <c r="T7" s="170">
        <f>S7/S15</f>
        <v>9.9309484555659688E-2</v>
      </c>
    </row>
    <row r="8" spans="1:29">
      <c r="A8" s="171">
        <v>2</v>
      </c>
      <c r="B8" s="172" t="s">
        <v>106</v>
      </c>
      <c r="C8" s="387">
        <v>1</v>
      </c>
      <c r="D8" s="387"/>
      <c r="E8" s="173"/>
      <c r="F8" s="173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88">
        <f>'Orçamento do muro PMVG'!H27</f>
        <v>4620.0464000000002</v>
      </c>
      <c r="T8" s="175">
        <f>S8/S15</f>
        <v>7.1300221573053268E-2</v>
      </c>
    </row>
    <row r="9" spans="1:29" ht="38.25">
      <c r="A9" s="171">
        <v>3</v>
      </c>
      <c r="B9" s="172" t="s">
        <v>141</v>
      </c>
      <c r="C9" s="387">
        <v>1</v>
      </c>
      <c r="D9" s="387"/>
      <c r="E9" s="184"/>
      <c r="F9" s="18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6">
        <f>'Orçamento do muro PMVG'!H34</f>
        <v>3447.3069600000003</v>
      </c>
      <c r="T9" s="175">
        <f>S9/S15</f>
        <v>5.3201576087705239E-2</v>
      </c>
    </row>
    <row r="10" spans="1:29" ht="38.25">
      <c r="A10" s="171">
        <v>4</v>
      </c>
      <c r="B10" s="172" t="s">
        <v>142</v>
      </c>
      <c r="C10" s="387">
        <v>1</v>
      </c>
      <c r="D10" s="387"/>
      <c r="E10" s="184"/>
      <c r="F10" s="18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6">
        <f>'Orçamento do muro PMVG'!H41</f>
        <v>2914.8242399999999</v>
      </c>
      <c r="T10" s="175">
        <f>S10/S15</f>
        <v>4.4983880282783863E-2</v>
      </c>
    </row>
    <row r="11" spans="1:29">
      <c r="A11" s="171">
        <v>5</v>
      </c>
      <c r="B11" s="172" t="s">
        <v>107</v>
      </c>
      <c r="C11" s="387">
        <v>1</v>
      </c>
      <c r="D11" s="387"/>
      <c r="E11" s="173"/>
      <c r="F11" s="173"/>
      <c r="G11" s="177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6">
        <f>'Orçamento do muro PMVG'!H45</f>
        <v>10373.2608</v>
      </c>
      <c r="T11" s="175">
        <f>S11/S15</f>
        <v>0.1600883907735359</v>
      </c>
    </row>
    <row r="12" spans="1:29">
      <c r="A12" s="171">
        <v>6</v>
      </c>
      <c r="B12" s="172" t="s">
        <v>108</v>
      </c>
      <c r="C12" s="173"/>
      <c r="D12" s="173"/>
      <c r="E12" s="387">
        <v>1</v>
      </c>
      <c r="F12" s="387"/>
      <c r="G12" s="400">
        <v>0.6</v>
      </c>
      <c r="H12" s="400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6">
        <f>'Orçamento do muro PMVG'!H50</f>
        <v>19803.48</v>
      </c>
      <c r="T12" s="175">
        <f>S12/S15</f>
        <v>0.30562301537004666</v>
      </c>
    </row>
    <row r="13" spans="1:29">
      <c r="A13" s="171">
        <v>7</v>
      </c>
      <c r="B13" s="172" t="s">
        <v>109</v>
      </c>
      <c r="C13" s="173"/>
      <c r="D13" s="173"/>
      <c r="E13" s="387">
        <v>1</v>
      </c>
      <c r="F13" s="387"/>
      <c r="G13" s="400">
        <v>0.5</v>
      </c>
      <c r="H13" s="400"/>
      <c r="I13" s="400">
        <v>0.5</v>
      </c>
      <c r="J13" s="400"/>
      <c r="K13" s="174"/>
      <c r="L13" s="174"/>
      <c r="M13" s="174"/>
      <c r="N13" s="174"/>
      <c r="O13" s="174"/>
      <c r="P13" s="174"/>
      <c r="Q13" s="174"/>
      <c r="R13" s="174"/>
      <c r="S13" s="176">
        <f>'Orçamento do muro PMVG'!H54</f>
        <v>4917.6000000000004</v>
      </c>
      <c r="T13" s="175">
        <f>S13/S15</f>
        <v>7.5892304806212937E-2</v>
      </c>
    </row>
    <row r="14" spans="1:29">
      <c r="A14" s="171">
        <v>8</v>
      </c>
      <c r="B14" s="172" t="s">
        <v>110</v>
      </c>
      <c r="C14" s="173"/>
      <c r="D14" s="173"/>
      <c r="E14" s="387">
        <v>1</v>
      </c>
      <c r="F14" s="387"/>
      <c r="G14" s="185"/>
      <c r="H14" s="185"/>
      <c r="I14" s="185"/>
      <c r="J14" s="185"/>
      <c r="K14" s="174"/>
      <c r="L14" s="174"/>
      <c r="M14" s="174"/>
      <c r="N14" s="174"/>
      <c r="O14" s="174"/>
      <c r="P14" s="174"/>
      <c r="Q14" s="174"/>
      <c r="R14" s="174"/>
      <c r="S14" s="176">
        <f>'Orçamento do muro PMVG'!H59</f>
        <v>12285.599999999999</v>
      </c>
      <c r="T14" s="175">
        <f>S14/S15</f>
        <v>0.18960112655100239</v>
      </c>
    </row>
    <row r="15" spans="1:29">
      <c r="A15" s="391"/>
      <c r="B15" s="179" t="s">
        <v>111</v>
      </c>
      <c r="C15" s="195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7"/>
      <c r="S15" s="186">
        <f>SUM(S7:S14)</f>
        <v>64797.083348</v>
      </c>
      <c r="T15" s="191">
        <f>SUM(T7:T14)</f>
        <v>0.99999999999999989</v>
      </c>
      <c r="AC15" s="178"/>
    </row>
    <row r="16" spans="1:29">
      <c r="A16" s="392"/>
      <c r="B16" s="179" t="s">
        <v>112</v>
      </c>
      <c r="C16" s="198"/>
      <c r="D16" s="199"/>
      <c r="E16" s="199"/>
      <c r="F16" s="19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6">
        <f>(S15*1.2824)</f>
        <v>83095.779685475194</v>
      </c>
      <c r="T16" s="191"/>
      <c r="AC16" s="178"/>
    </row>
    <row r="17" spans="1:29">
      <c r="A17" s="392"/>
      <c r="B17" s="174" t="s">
        <v>113</v>
      </c>
      <c r="C17" s="388">
        <f>SUM(S7:S11)</f>
        <v>27790.403348</v>
      </c>
      <c r="D17" s="388"/>
      <c r="E17" s="388">
        <f>SUM(S12:S14)</f>
        <v>37006.68</v>
      </c>
      <c r="F17" s="388"/>
      <c r="G17" s="388">
        <v>335420.55500000005</v>
      </c>
      <c r="H17" s="388"/>
      <c r="I17" s="388">
        <v>752512.147</v>
      </c>
      <c r="J17" s="388"/>
      <c r="K17" s="388">
        <v>329714.18399999995</v>
      </c>
      <c r="L17" s="388"/>
      <c r="M17" s="388">
        <v>49590.591999999997</v>
      </c>
      <c r="N17" s="388"/>
      <c r="O17" s="388">
        <v>121722.73999999999</v>
      </c>
      <c r="P17" s="388"/>
      <c r="Q17" s="388">
        <v>73370.080000000002</v>
      </c>
      <c r="R17" s="388"/>
      <c r="S17" s="174"/>
      <c r="T17" s="180"/>
      <c r="AC17" s="178"/>
    </row>
    <row r="18" spans="1:29">
      <c r="A18" s="392"/>
      <c r="B18" s="174" t="s">
        <v>114</v>
      </c>
      <c r="C18" s="388">
        <f>C17</f>
        <v>27790.403348</v>
      </c>
      <c r="D18" s="388"/>
      <c r="E18" s="388">
        <f>(C18+E17)</f>
        <v>64797.083348</v>
      </c>
      <c r="F18" s="388"/>
      <c r="G18" s="388">
        <v>686263.94700000004</v>
      </c>
      <c r="H18" s="388"/>
      <c r="I18" s="388">
        <v>1438776.094</v>
      </c>
      <c r="J18" s="388"/>
      <c r="K18" s="388">
        <v>1768490.2779999999</v>
      </c>
      <c r="L18" s="388"/>
      <c r="M18" s="388">
        <v>1818080.8699999999</v>
      </c>
      <c r="N18" s="388"/>
      <c r="O18" s="388">
        <v>1939803.6099999999</v>
      </c>
      <c r="P18" s="388"/>
      <c r="Q18" s="394">
        <v>2013173.69</v>
      </c>
      <c r="R18" s="394"/>
      <c r="S18" s="190"/>
      <c r="T18" s="180"/>
      <c r="AC18" s="178"/>
    </row>
    <row r="19" spans="1:29">
      <c r="A19" s="392"/>
      <c r="B19" s="179" t="s">
        <v>115</v>
      </c>
      <c r="C19" s="385">
        <f>(C17*1.2824)</f>
        <v>35638.413253475199</v>
      </c>
      <c r="D19" s="386"/>
      <c r="E19" s="385">
        <f>(E17*1.2824)</f>
        <v>47457.366432000003</v>
      </c>
      <c r="F19" s="386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192"/>
      <c r="AC19" s="178"/>
    </row>
    <row r="20" spans="1:29" ht="15.75" thickBot="1">
      <c r="A20" s="393"/>
      <c r="B20" s="181" t="s">
        <v>116</v>
      </c>
      <c r="C20" s="389">
        <f>(C19)</f>
        <v>35638.413253475199</v>
      </c>
      <c r="D20" s="390"/>
      <c r="E20" s="389">
        <f>(C20+E19)</f>
        <v>83095.779685475194</v>
      </c>
      <c r="F20" s="390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3"/>
      <c r="T20" s="194"/>
      <c r="AC20" s="178"/>
    </row>
    <row r="21" spans="1:29">
      <c r="S21" s="182"/>
      <c r="AC21" s="178"/>
    </row>
    <row r="22" spans="1:29">
      <c r="AC22" s="178"/>
    </row>
    <row r="23" spans="1:29">
      <c r="S23" s="182"/>
      <c r="AC23" s="178"/>
    </row>
    <row r="24" spans="1:29">
      <c r="AC24" s="178"/>
    </row>
    <row r="25" spans="1:29">
      <c r="AC25" s="178"/>
    </row>
    <row r="26" spans="1:29">
      <c r="AC26" s="178"/>
    </row>
    <row r="27" spans="1:29">
      <c r="AC27" s="178"/>
    </row>
    <row r="28" spans="1:29">
      <c r="AC28" s="178"/>
    </row>
    <row r="29" spans="1:29">
      <c r="AC29" s="183"/>
    </row>
  </sheetData>
  <mergeCells count="47">
    <mergeCell ref="A5:A6"/>
    <mergeCell ref="B5:B6"/>
    <mergeCell ref="C5:D5"/>
    <mergeCell ref="E5:F5"/>
    <mergeCell ref="C10:D10"/>
    <mergeCell ref="C7:D7"/>
    <mergeCell ref="C8:D8"/>
    <mergeCell ref="G5:H5"/>
    <mergeCell ref="I5:J5"/>
    <mergeCell ref="K5:L5"/>
    <mergeCell ref="G12:H12"/>
    <mergeCell ref="G13:H13"/>
    <mergeCell ref="I13:J13"/>
    <mergeCell ref="S5:S6"/>
    <mergeCell ref="T5:T6"/>
    <mergeCell ref="M5:N5"/>
    <mergeCell ref="O5:P5"/>
    <mergeCell ref="Q5:R5"/>
    <mergeCell ref="I18:J18"/>
    <mergeCell ref="K18:L18"/>
    <mergeCell ref="M18:N18"/>
    <mergeCell ref="O18:P18"/>
    <mergeCell ref="Q18:R18"/>
    <mergeCell ref="C20:D20"/>
    <mergeCell ref="E20:F20"/>
    <mergeCell ref="E14:F14"/>
    <mergeCell ref="A15:A20"/>
    <mergeCell ref="E17:F17"/>
    <mergeCell ref="C17:D17"/>
    <mergeCell ref="C18:D18"/>
    <mergeCell ref="E18:F18"/>
    <mergeCell ref="A1:T1"/>
    <mergeCell ref="A2:T2"/>
    <mergeCell ref="A3:T3"/>
    <mergeCell ref="C19:D19"/>
    <mergeCell ref="E19:F19"/>
    <mergeCell ref="C9:D9"/>
    <mergeCell ref="C11:D11"/>
    <mergeCell ref="E12:F12"/>
    <mergeCell ref="E13:F13"/>
    <mergeCell ref="O17:P17"/>
    <mergeCell ref="M17:N17"/>
    <mergeCell ref="K17:L17"/>
    <mergeCell ref="I17:J17"/>
    <mergeCell ref="G17:H17"/>
    <mergeCell ref="Q17:R17"/>
    <mergeCell ref="G18:H18"/>
  </mergeCells>
  <pageMargins left="0.51181102362204722" right="0.51181102362204722" top="0.78740157480314965" bottom="0.78740157480314965" header="0.31496062992125984" footer="0.31496062992125984"/>
  <pageSetup paperSize="9" scale="8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74"/>
  <sheetViews>
    <sheetView workbookViewId="0">
      <selection activeCell="O55" sqref="O55"/>
    </sheetView>
  </sheetViews>
  <sheetFormatPr defaultRowHeight="15"/>
  <cols>
    <col min="1" max="1" width="11.42578125" customWidth="1"/>
    <col min="2" max="2" width="14.7109375" customWidth="1"/>
    <col min="3" max="3" width="10.140625" customWidth="1"/>
    <col min="4" max="4" width="55.28515625" customWidth="1"/>
    <col min="6" max="6" width="9.28515625" bestFit="1" customWidth="1"/>
    <col min="7" max="7" width="10.42578125" customWidth="1"/>
    <col min="8" max="8" width="14.85546875" customWidth="1"/>
    <col min="9" max="9" width="14.42578125" customWidth="1"/>
  </cols>
  <sheetData>
    <row r="1" spans="1:11">
      <c r="A1" s="360"/>
      <c r="B1" s="360"/>
      <c r="C1" s="361"/>
      <c r="D1" s="362"/>
      <c r="E1" s="362"/>
      <c r="F1" s="362"/>
      <c r="G1" s="362"/>
      <c r="H1" s="363"/>
    </row>
    <row r="2" spans="1:11">
      <c r="A2" s="360"/>
      <c r="B2" s="360"/>
      <c r="C2" s="364"/>
      <c r="D2" s="365"/>
      <c r="E2" s="365"/>
      <c r="F2" s="365"/>
      <c r="G2" s="365"/>
      <c r="H2" s="366"/>
    </row>
    <row r="3" spans="1:11">
      <c r="A3" s="360"/>
      <c r="B3" s="360"/>
      <c r="C3" s="364"/>
      <c r="D3" s="365"/>
      <c r="E3" s="365"/>
      <c r="F3" s="365"/>
      <c r="G3" s="365"/>
      <c r="H3" s="366"/>
    </row>
    <row r="4" spans="1:11">
      <c r="A4" s="360"/>
      <c r="B4" s="360"/>
      <c r="C4" s="364"/>
      <c r="D4" s="365"/>
      <c r="E4" s="365"/>
      <c r="F4" s="365"/>
      <c r="G4" s="365"/>
      <c r="H4" s="366"/>
    </row>
    <row r="5" spans="1:11" ht="15.75" thickBot="1">
      <c r="A5" s="360"/>
      <c r="B5" s="360"/>
      <c r="C5" s="367"/>
      <c r="D5" s="368"/>
      <c r="E5" s="368"/>
      <c r="F5" s="368"/>
      <c r="G5" s="368"/>
      <c r="H5" s="369"/>
    </row>
    <row r="6" spans="1:11">
      <c r="A6" s="55" t="s">
        <v>120</v>
      </c>
      <c r="B6" s="56"/>
      <c r="C6" s="56"/>
      <c r="D6" s="56"/>
      <c r="E6" s="56"/>
      <c r="F6" s="57"/>
      <c r="G6" s="58"/>
      <c r="H6" s="59"/>
      <c r="I6" s="60"/>
      <c r="J6" s="60"/>
      <c r="K6" s="60"/>
    </row>
    <row r="7" spans="1:11" ht="26.25" thickBot="1">
      <c r="A7" s="61" t="s">
        <v>33</v>
      </c>
      <c r="B7" s="62"/>
      <c r="C7" s="62"/>
      <c r="D7" s="62"/>
      <c r="E7" s="62"/>
      <c r="F7" s="63" t="s">
        <v>34</v>
      </c>
      <c r="G7" s="64"/>
      <c r="H7" s="65"/>
      <c r="I7" s="60"/>
      <c r="J7" s="60"/>
      <c r="K7" s="60"/>
    </row>
    <row r="8" spans="1:11">
      <c r="A8" s="370"/>
      <c r="B8" s="370"/>
      <c r="C8" s="370"/>
      <c r="D8" s="370"/>
      <c r="E8" s="370"/>
      <c r="F8" s="370"/>
      <c r="G8" s="370"/>
      <c r="H8" s="371"/>
      <c r="I8" s="60"/>
      <c r="J8" s="60"/>
      <c r="K8" s="60"/>
    </row>
    <row r="9" spans="1:11">
      <c r="A9" s="372"/>
      <c r="B9" s="372"/>
      <c r="C9" s="372"/>
      <c r="D9" s="372"/>
      <c r="E9" s="372"/>
      <c r="F9" s="372"/>
      <c r="G9" s="372"/>
      <c r="H9" s="373"/>
      <c r="I9" s="60"/>
      <c r="J9" s="60"/>
      <c r="K9" s="60"/>
    </row>
    <row r="10" spans="1:11" ht="15.75" thickBot="1">
      <c r="A10" s="374"/>
      <c r="B10" s="374"/>
      <c r="C10" s="374"/>
      <c r="D10" s="374"/>
      <c r="E10" s="374"/>
      <c r="F10" s="374"/>
      <c r="G10" s="374"/>
      <c r="H10" s="375"/>
      <c r="I10" s="60"/>
      <c r="J10" s="60"/>
      <c r="K10" s="60"/>
    </row>
    <row r="11" spans="1:11" ht="15.75" thickBot="1">
      <c r="A11" s="66"/>
      <c r="B11" s="66"/>
      <c r="C11" s="66"/>
      <c r="D11" s="67"/>
      <c r="E11" s="68"/>
      <c r="F11" s="69"/>
      <c r="G11" s="70"/>
      <c r="H11" s="71"/>
      <c r="I11" s="60"/>
      <c r="J11" s="60"/>
      <c r="K11" s="60"/>
    </row>
    <row r="12" spans="1:11" ht="26.25" thickBot="1">
      <c r="A12" s="72" t="s">
        <v>35</v>
      </c>
      <c r="B12" s="72" t="s">
        <v>36</v>
      </c>
      <c r="C12" s="72" t="s">
        <v>37</v>
      </c>
      <c r="D12" s="73" t="s">
        <v>38</v>
      </c>
      <c r="E12" s="72" t="s">
        <v>39</v>
      </c>
      <c r="F12" s="74" t="s">
        <v>40</v>
      </c>
      <c r="G12" s="75" t="s">
        <v>41</v>
      </c>
      <c r="H12" s="75" t="s">
        <v>42</v>
      </c>
      <c r="I12" s="60"/>
      <c r="J12" s="60"/>
      <c r="K12" s="60"/>
    </row>
    <row r="13" spans="1:11">
      <c r="A13" s="76"/>
      <c r="B13" s="77"/>
      <c r="C13" s="77"/>
      <c r="D13" s="78"/>
      <c r="E13" s="79"/>
      <c r="F13" s="80"/>
      <c r="G13" s="81"/>
      <c r="H13" s="82"/>
      <c r="I13" s="60"/>
      <c r="J13" s="60"/>
      <c r="K13" s="60"/>
    </row>
    <row r="14" spans="1:11">
      <c r="A14" s="83" t="s">
        <v>43</v>
      </c>
      <c r="B14" s="84"/>
      <c r="C14" s="84"/>
      <c r="D14" s="147"/>
      <c r="E14" s="85"/>
      <c r="F14" s="86"/>
      <c r="G14" s="86"/>
      <c r="H14" s="87"/>
      <c r="I14" s="60"/>
      <c r="J14" s="60"/>
    </row>
    <row r="15" spans="1:11">
      <c r="A15" s="151"/>
      <c r="B15" s="126"/>
      <c r="C15" s="91"/>
      <c r="D15" s="163"/>
      <c r="E15" s="91"/>
      <c r="F15" s="200"/>
      <c r="G15" s="201"/>
      <c r="H15" s="90"/>
      <c r="I15" s="60"/>
      <c r="J15" s="60"/>
    </row>
    <row r="16" spans="1:11">
      <c r="A16" s="151"/>
      <c r="B16" s="161"/>
      <c r="C16" s="91"/>
      <c r="D16" s="163"/>
      <c r="E16" s="91"/>
      <c r="F16" s="200"/>
      <c r="G16" s="201"/>
      <c r="H16" s="90"/>
      <c r="I16" s="60"/>
      <c r="J16" s="60"/>
    </row>
    <row r="17" spans="1:16" ht="31.5" customHeight="1">
      <c r="A17" s="151"/>
      <c r="B17" s="91"/>
      <c r="C17" s="91"/>
      <c r="D17" s="92"/>
      <c r="E17" s="91"/>
      <c r="F17" s="100"/>
      <c r="G17" s="101"/>
      <c r="H17" s="90"/>
      <c r="I17" s="102"/>
      <c r="J17" s="102"/>
    </row>
    <row r="18" spans="1:16">
      <c r="A18" s="151"/>
      <c r="B18" s="91"/>
      <c r="C18" s="91"/>
      <c r="D18" s="92"/>
      <c r="E18" s="91"/>
      <c r="F18" s="103"/>
      <c r="G18" s="101"/>
      <c r="H18" s="90"/>
      <c r="I18" s="102"/>
      <c r="J18" s="102"/>
    </row>
    <row r="19" spans="1:16">
      <c r="A19" s="151"/>
      <c r="B19" s="91"/>
      <c r="C19" s="91"/>
      <c r="D19" s="92"/>
      <c r="E19" s="91"/>
      <c r="F19" s="100"/>
      <c r="G19" s="101"/>
      <c r="H19" s="90"/>
      <c r="I19" s="102"/>
      <c r="J19" s="102"/>
    </row>
    <row r="20" spans="1:16">
      <c r="A20" s="405"/>
      <c r="B20" s="406"/>
      <c r="C20" s="406"/>
      <c r="D20" s="406"/>
      <c r="E20" s="406"/>
      <c r="F20" s="406"/>
      <c r="G20" s="406"/>
      <c r="H20" s="148"/>
      <c r="I20" s="60"/>
      <c r="J20" s="60"/>
    </row>
    <row r="21" spans="1:16">
      <c r="A21" s="93"/>
      <c r="B21" s="94"/>
      <c r="C21" s="94"/>
      <c r="D21" s="94"/>
      <c r="E21" s="95"/>
      <c r="F21" s="96"/>
      <c r="G21" s="97"/>
      <c r="H21" s="98"/>
      <c r="I21" s="60"/>
      <c r="J21" s="60"/>
    </row>
    <row r="22" spans="1:16">
      <c r="A22" s="83" t="s">
        <v>48</v>
      </c>
      <c r="B22" s="84"/>
      <c r="C22" s="84"/>
      <c r="D22" s="147"/>
      <c r="E22" s="85"/>
      <c r="F22" s="86"/>
      <c r="G22" s="86"/>
      <c r="H22" s="87"/>
      <c r="I22" s="60"/>
      <c r="J22" s="60"/>
    </row>
    <row r="23" spans="1:16">
      <c r="A23" s="104"/>
      <c r="B23" s="88"/>
      <c r="C23" s="91"/>
      <c r="D23" s="105"/>
      <c r="E23" s="88"/>
      <c r="F23" s="106"/>
      <c r="G23" s="89"/>
      <c r="H23" s="90"/>
    </row>
    <row r="24" spans="1:16">
      <c r="A24" s="104"/>
      <c r="B24" s="88"/>
      <c r="C24" s="91"/>
      <c r="D24" s="92"/>
      <c r="E24" s="88"/>
      <c r="F24" s="106"/>
      <c r="G24" s="89"/>
      <c r="H24" s="90"/>
      <c r="K24" s="107"/>
    </row>
    <row r="25" spans="1:16">
      <c r="A25" s="104"/>
      <c r="B25" s="88"/>
      <c r="C25" s="91"/>
      <c r="D25" s="92"/>
      <c r="E25" s="88"/>
      <c r="F25" s="106"/>
      <c r="G25" s="89"/>
      <c r="H25" s="90"/>
      <c r="K25" s="107"/>
    </row>
    <row r="26" spans="1:16" ht="34.5" customHeight="1">
      <c r="A26" s="104"/>
      <c r="B26" s="108"/>
      <c r="C26" s="91"/>
      <c r="D26" s="92"/>
      <c r="E26" s="88"/>
      <c r="F26" s="106"/>
      <c r="G26" s="89"/>
      <c r="H26" s="90"/>
      <c r="K26" s="107"/>
    </row>
    <row r="27" spans="1:16">
      <c r="A27" s="405"/>
      <c r="B27" s="406"/>
      <c r="C27" s="406"/>
      <c r="D27" s="406"/>
      <c r="E27" s="406"/>
      <c r="F27" s="406"/>
      <c r="G27" s="406"/>
      <c r="H27" s="148"/>
      <c r="I27" s="60"/>
      <c r="J27" s="60"/>
      <c r="K27" s="109"/>
      <c r="L27" s="60"/>
      <c r="M27" s="60"/>
      <c r="N27" s="60"/>
      <c r="O27" s="60"/>
      <c r="P27" s="60"/>
    </row>
    <row r="28" spans="1:16">
      <c r="A28" s="93"/>
      <c r="B28" s="94"/>
      <c r="C28" s="94"/>
      <c r="D28" s="94"/>
      <c r="E28" s="95"/>
      <c r="F28" s="96"/>
      <c r="G28" s="97"/>
      <c r="H28" s="98"/>
      <c r="I28" s="60"/>
      <c r="J28" s="60"/>
      <c r="K28" s="79"/>
      <c r="L28" s="60"/>
      <c r="M28" s="60"/>
      <c r="N28" s="60"/>
      <c r="O28" s="60"/>
      <c r="P28" s="60"/>
    </row>
    <row r="29" spans="1:16">
      <c r="A29" s="83" t="s">
        <v>58</v>
      </c>
      <c r="B29" s="84"/>
      <c r="C29" s="84"/>
      <c r="D29" s="134"/>
      <c r="E29" s="85"/>
      <c r="F29" s="86"/>
      <c r="G29" s="86"/>
      <c r="H29" s="87"/>
      <c r="I29" s="60"/>
      <c r="J29" s="60"/>
      <c r="K29" s="60"/>
      <c r="L29" s="60"/>
      <c r="M29" s="60"/>
      <c r="N29" s="60"/>
      <c r="O29" s="60"/>
      <c r="P29" s="60"/>
    </row>
    <row r="30" spans="1:16">
      <c r="A30" s="111"/>
      <c r="B30" s="112"/>
      <c r="C30" s="112"/>
      <c r="D30" s="113"/>
      <c r="E30" s="114"/>
      <c r="F30" s="115"/>
      <c r="G30" s="115"/>
      <c r="H30" s="116"/>
      <c r="I30" s="117"/>
      <c r="J30" s="102"/>
      <c r="K30" s="102"/>
      <c r="L30" s="102"/>
      <c r="M30" s="102"/>
      <c r="N30" s="102"/>
      <c r="O30" s="102"/>
      <c r="P30" s="102"/>
    </row>
    <row r="31" spans="1:16">
      <c r="A31" s="99"/>
      <c r="B31" s="88"/>
      <c r="C31" s="91"/>
      <c r="D31" s="92"/>
      <c r="E31" s="88"/>
      <c r="F31" s="118"/>
      <c r="G31" s="89"/>
      <c r="H31" s="90"/>
      <c r="I31" s="102"/>
      <c r="J31" s="102"/>
      <c r="K31" s="102"/>
      <c r="L31" s="102"/>
      <c r="M31" s="102"/>
      <c r="N31" s="102"/>
      <c r="O31" s="102"/>
      <c r="P31" s="102"/>
    </row>
    <row r="32" spans="1:16">
      <c r="A32" s="99"/>
      <c r="B32" s="88"/>
      <c r="C32" s="91"/>
      <c r="D32" s="92"/>
      <c r="E32" s="88"/>
      <c r="F32" s="118"/>
      <c r="G32" s="89"/>
      <c r="H32" s="90"/>
      <c r="I32" s="102"/>
      <c r="J32" s="102"/>
      <c r="K32" s="102"/>
      <c r="L32" s="102"/>
      <c r="M32" s="102"/>
      <c r="N32" s="102"/>
      <c r="O32" s="102"/>
      <c r="P32" s="102"/>
    </row>
    <row r="33" spans="1:16">
      <c r="A33" s="99"/>
      <c r="B33" s="88"/>
      <c r="C33" s="91"/>
      <c r="D33" s="92"/>
      <c r="E33" s="88"/>
      <c r="F33" s="100"/>
      <c r="G33" s="89"/>
      <c r="H33" s="90"/>
      <c r="I33" s="102"/>
      <c r="J33" s="102"/>
      <c r="K33" s="102"/>
      <c r="L33" s="102"/>
      <c r="M33" s="102"/>
      <c r="N33" s="102"/>
      <c r="O33" s="102"/>
      <c r="P33" s="102"/>
    </row>
    <row r="34" spans="1:16">
      <c r="A34" s="99"/>
      <c r="B34" s="108"/>
      <c r="C34" s="91"/>
      <c r="D34" s="92"/>
      <c r="E34" s="88"/>
      <c r="F34" s="100"/>
      <c r="G34" s="89"/>
      <c r="H34" s="90"/>
      <c r="I34" s="102"/>
      <c r="J34" s="102"/>
      <c r="K34" s="102"/>
      <c r="L34" s="102"/>
      <c r="M34" s="102"/>
      <c r="N34" s="102"/>
      <c r="O34" s="102"/>
      <c r="P34" s="102"/>
    </row>
    <row r="35" spans="1:16">
      <c r="A35" s="405"/>
      <c r="B35" s="406"/>
      <c r="C35" s="406"/>
      <c r="D35" s="406"/>
      <c r="E35" s="406"/>
      <c r="F35" s="406"/>
      <c r="G35" s="406"/>
      <c r="H35" s="148"/>
      <c r="I35" s="119"/>
      <c r="J35" s="60"/>
    </row>
    <row r="36" spans="1:16">
      <c r="A36" s="93"/>
      <c r="B36" s="94"/>
      <c r="C36" s="94"/>
      <c r="D36" s="94"/>
      <c r="E36" s="95"/>
      <c r="F36" s="96"/>
      <c r="G36" s="97"/>
      <c r="H36" s="98"/>
      <c r="I36" s="60"/>
      <c r="J36" s="60"/>
    </row>
    <row r="37" spans="1:16">
      <c r="A37" s="152" t="s">
        <v>67</v>
      </c>
      <c r="B37" s="153"/>
      <c r="C37" s="154"/>
      <c r="D37" s="155"/>
      <c r="E37" s="156"/>
      <c r="F37" s="157"/>
      <c r="G37" s="158"/>
      <c r="H37" s="159"/>
      <c r="I37" s="60"/>
      <c r="J37" s="60"/>
    </row>
    <row r="38" spans="1:16">
      <c r="A38" s="99"/>
      <c r="B38" s="131"/>
      <c r="C38" s="132"/>
      <c r="D38" s="133"/>
      <c r="E38" s="88"/>
      <c r="F38" s="129"/>
      <c r="G38" s="130"/>
      <c r="H38" s="90"/>
      <c r="I38" s="60"/>
      <c r="J38" s="60"/>
    </row>
    <row r="39" spans="1:16">
      <c r="A39" s="405"/>
      <c r="B39" s="406"/>
      <c r="C39" s="406"/>
      <c r="D39" s="406"/>
      <c r="E39" s="406"/>
      <c r="F39" s="406"/>
      <c r="G39" s="406"/>
      <c r="H39" s="148"/>
      <c r="I39" s="60"/>
      <c r="J39" s="60"/>
    </row>
    <row r="40" spans="1:16">
      <c r="A40" s="93"/>
      <c r="B40" s="94"/>
      <c r="C40" s="94"/>
      <c r="D40" s="94"/>
      <c r="E40" s="95"/>
      <c r="F40" s="96"/>
      <c r="G40" s="97"/>
      <c r="H40" s="98"/>
      <c r="I40" s="60"/>
      <c r="J40" s="60"/>
    </row>
    <row r="41" spans="1:16">
      <c r="A41" s="83" t="s">
        <v>71</v>
      </c>
      <c r="B41" s="84"/>
      <c r="C41" s="84"/>
      <c r="D41" s="85"/>
      <c r="E41" s="85"/>
      <c r="F41" s="86"/>
      <c r="G41" s="86"/>
      <c r="H41" s="87"/>
      <c r="I41" s="60"/>
      <c r="J41" s="60"/>
      <c r="K41" s="60"/>
    </row>
    <row r="42" spans="1:16">
      <c r="A42" s="151"/>
      <c r="B42" s="136"/>
      <c r="C42" s="135"/>
      <c r="D42" s="149"/>
      <c r="E42" s="135"/>
      <c r="F42" s="127"/>
      <c r="G42" s="150"/>
      <c r="H42" s="90"/>
      <c r="I42" s="60"/>
      <c r="J42" s="60"/>
      <c r="K42" s="60"/>
    </row>
    <row r="43" spans="1:16">
      <c r="A43" s="151"/>
      <c r="B43" s="136"/>
      <c r="C43" s="135"/>
      <c r="D43" s="137"/>
      <c r="E43" s="135"/>
      <c r="F43" s="89"/>
      <c r="G43" s="121"/>
      <c r="H43" s="90"/>
      <c r="I43" s="117"/>
      <c r="J43" s="117"/>
      <c r="K43" s="117"/>
    </row>
    <row r="44" spans="1:16">
      <c r="A44" s="405"/>
      <c r="B44" s="406"/>
      <c r="C44" s="406"/>
      <c r="D44" s="406"/>
      <c r="E44" s="406"/>
      <c r="F44" s="406"/>
      <c r="G44" s="406"/>
      <c r="H44" s="148"/>
      <c r="I44" s="60"/>
      <c r="J44" s="60"/>
      <c r="K44" s="60"/>
    </row>
    <row r="45" spans="1:16">
      <c r="A45" s="122"/>
      <c r="B45" s="123"/>
      <c r="C45" s="123"/>
      <c r="D45" s="123"/>
      <c r="E45" s="123"/>
      <c r="F45" s="123"/>
      <c r="G45" s="123"/>
      <c r="H45" s="124"/>
      <c r="I45" s="60"/>
      <c r="J45" s="60"/>
      <c r="K45" s="60"/>
    </row>
    <row r="46" spans="1:16">
      <c r="A46" s="83" t="s">
        <v>74</v>
      </c>
      <c r="B46" s="84"/>
      <c r="C46" s="84"/>
      <c r="D46" s="110"/>
      <c r="E46" s="85"/>
      <c r="F46" s="86"/>
      <c r="G46" s="86"/>
      <c r="H46" s="87"/>
      <c r="I46" s="117"/>
      <c r="J46" s="117"/>
      <c r="K46" s="117"/>
      <c r="L46" s="60"/>
    </row>
    <row r="47" spans="1:16">
      <c r="A47" s="99"/>
      <c r="B47" s="136"/>
      <c r="C47" s="135"/>
      <c r="D47" s="92"/>
      <c r="E47" s="120"/>
      <c r="F47" s="89"/>
      <c r="G47" s="136"/>
      <c r="H47" s="90"/>
      <c r="I47" s="60"/>
      <c r="J47" s="60"/>
      <c r="K47" s="60"/>
      <c r="L47" s="125"/>
    </row>
    <row r="48" spans="1:16">
      <c r="A48" s="405"/>
      <c r="B48" s="406"/>
      <c r="C48" s="406"/>
      <c r="D48" s="406"/>
      <c r="E48" s="406"/>
      <c r="F48" s="406"/>
      <c r="G48" s="406"/>
      <c r="H48" s="148"/>
      <c r="I48" s="60"/>
      <c r="J48" s="60"/>
      <c r="K48" s="60"/>
      <c r="L48" s="60"/>
    </row>
    <row r="49" spans="1:16">
      <c r="A49" s="122"/>
      <c r="B49" s="123"/>
      <c r="C49" s="123"/>
      <c r="D49" s="123"/>
      <c r="E49" s="123"/>
      <c r="F49" s="123"/>
      <c r="G49" s="123"/>
      <c r="H49" s="124"/>
      <c r="I49" s="117"/>
      <c r="J49" s="117"/>
      <c r="K49" s="117"/>
      <c r="L49" s="60"/>
    </row>
    <row r="50" spans="1:16">
      <c r="A50" s="83" t="s">
        <v>77</v>
      </c>
      <c r="B50" s="84"/>
      <c r="C50" s="84"/>
      <c r="D50" s="85"/>
      <c r="E50" s="85"/>
      <c r="F50" s="86"/>
      <c r="G50" s="86"/>
      <c r="H50" s="87"/>
    </row>
    <row r="51" spans="1:16">
      <c r="A51" s="151"/>
      <c r="B51" s="161"/>
      <c r="C51" s="162"/>
      <c r="D51" s="160"/>
      <c r="E51" s="126"/>
      <c r="F51" s="127"/>
      <c r="G51" s="127"/>
      <c r="H51" s="90"/>
    </row>
    <row r="52" spans="1:16">
      <c r="A52" s="151"/>
      <c r="B52" s="126"/>
      <c r="C52" s="135"/>
      <c r="D52" s="163"/>
      <c r="E52" s="126"/>
      <c r="F52" s="127"/>
      <c r="G52" s="127"/>
      <c r="H52" s="90"/>
    </row>
    <row r="53" spans="1:16">
      <c r="A53" s="151"/>
      <c r="B53" s="126"/>
      <c r="C53" s="135"/>
      <c r="D53" s="163"/>
      <c r="E53" s="126"/>
      <c r="F53" s="127"/>
      <c r="G53" s="127"/>
      <c r="H53" s="90"/>
    </row>
    <row r="54" spans="1:16">
      <c r="A54" s="405"/>
      <c r="B54" s="406"/>
      <c r="C54" s="406"/>
      <c r="D54" s="406"/>
      <c r="E54" s="406"/>
      <c r="F54" s="406"/>
      <c r="G54" s="406"/>
      <c r="H54" s="148"/>
    </row>
    <row r="55" spans="1:16">
      <c r="A55" s="358" t="s">
        <v>81</v>
      </c>
      <c r="B55" s="359"/>
      <c r="C55" s="359"/>
      <c r="D55" s="359"/>
      <c r="E55" s="359"/>
      <c r="F55" s="359"/>
      <c r="G55" s="359"/>
      <c r="H55" s="202">
        <v>0</v>
      </c>
      <c r="I55" s="139"/>
    </row>
    <row r="56" spans="1:16" ht="15.75" thickBot="1">
      <c r="A56" s="2" t="s">
        <v>82</v>
      </c>
      <c r="B56" s="354"/>
      <c r="C56" s="354"/>
      <c r="D56" s="354"/>
      <c r="E56" s="354"/>
      <c r="F56" s="354"/>
      <c r="G56" s="355"/>
      <c r="H56" s="140">
        <f>(H55*1.2824)</f>
        <v>0</v>
      </c>
    </row>
    <row r="57" spans="1:16">
      <c r="A57" s="79"/>
      <c r="B57" s="79"/>
      <c r="C57" s="79"/>
      <c r="D57" s="79"/>
      <c r="E57" s="79"/>
      <c r="F57" s="79"/>
      <c r="G57" s="79"/>
      <c r="H57" s="141"/>
    </row>
    <row r="58" spans="1:16">
      <c r="A58" s="356"/>
      <c r="B58" s="356"/>
      <c r="C58" s="356"/>
      <c r="D58" s="356"/>
      <c r="E58" s="356"/>
      <c r="F58" s="356"/>
      <c r="G58" s="79"/>
      <c r="H58" s="60"/>
    </row>
    <row r="59" spans="1:16">
      <c r="A59" s="356"/>
      <c r="B59" s="356"/>
      <c r="C59" s="356"/>
      <c r="D59" s="356"/>
      <c r="E59" s="356"/>
      <c r="F59" s="356"/>
      <c r="G59" s="79"/>
      <c r="H59" s="60"/>
      <c r="I59" s="60"/>
      <c r="J59" s="60"/>
      <c r="K59" s="60"/>
      <c r="L59" s="60"/>
      <c r="M59" s="60"/>
      <c r="N59" s="60"/>
      <c r="O59" s="60"/>
      <c r="P59" s="60"/>
    </row>
    <row r="60" spans="1:16">
      <c r="A60" s="356"/>
      <c r="B60" s="356"/>
      <c r="C60" s="356"/>
      <c r="D60" s="356"/>
      <c r="E60" s="356"/>
      <c r="F60" s="356"/>
      <c r="G60" s="79"/>
      <c r="H60" s="60"/>
      <c r="I60" s="60"/>
      <c r="J60" s="60"/>
      <c r="K60" s="60"/>
      <c r="L60" s="60"/>
      <c r="M60" s="60"/>
      <c r="N60" s="60"/>
      <c r="O60" s="60"/>
      <c r="P60" s="60"/>
    </row>
    <row r="61" spans="1:16">
      <c r="A61" s="356"/>
      <c r="B61" s="356"/>
      <c r="C61" s="356"/>
      <c r="D61" s="356"/>
      <c r="E61" s="356"/>
      <c r="F61" s="356"/>
      <c r="G61" s="79"/>
      <c r="H61" s="60"/>
      <c r="I61" s="60"/>
      <c r="J61" s="60"/>
      <c r="K61" s="60"/>
      <c r="L61" s="60"/>
      <c r="M61" s="60"/>
      <c r="N61" s="60"/>
      <c r="O61" s="60"/>
      <c r="P61" s="60"/>
    </row>
    <row r="62" spans="1:16">
      <c r="A62" s="356"/>
      <c r="B62" s="356"/>
      <c r="C62" s="356"/>
      <c r="D62" s="356"/>
      <c r="E62" s="356"/>
      <c r="F62" s="356"/>
      <c r="G62" s="79"/>
      <c r="H62" s="60"/>
      <c r="I62" s="60"/>
      <c r="J62" s="60"/>
      <c r="K62" s="60"/>
      <c r="L62" s="60"/>
      <c r="M62" s="60"/>
      <c r="N62" s="60"/>
      <c r="O62" s="60"/>
      <c r="P62" s="60"/>
    </row>
    <row r="63" spans="1:16">
      <c r="A63" s="357"/>
      <c r="B63" s="357"/>
      <c r="C63" s="357"/>
      <c r="D63" s="357"/>
      <c r="E63" s="357"/>
      <c r="F63" s="357"/>
      <c r="G63" s="97"/>
      <c r="H63" s="142"/>
      <c r="I63" s="143"/>
      <c r="J63" s="143"/>
      <c r="K63" s="143"/>
      <c r="L63" s="143"/>
      <c r="M63" s="143"/>
      <c r="N63" s="143"/>
      <c r="O63" s="143"/>
      <c r="P63" s="143"/>
    </row>
    <row r="64" spans="1:16">
      <c r="A64" s="357"/>
      <c r="B64" s="357"/>
      <c r="C64" s="357"/>
      <c r="D64" s="357"/>
      <c r="E64" s="357"/>
      <c r="F64" s="357"/>
      <c r="G64" s="97"/>
      <c r="H64" s="142"/>
      <c r="I64" s="143"/>
      <c r="J64" s="143"/>
      <c r="K64" s="143"/>
      <c r="L64" s="143"/>
      <c r="M64" s="143"/>
      <c r="N64" s="143"/>
      <c r="O64" s="143"/>
      <c r="P64" s="143"/>
    </row>
    <row r="65" spans="1:16">
      <c r="A65" s="357"/>
      <c r="B65" s="357"/>
      <c r="C65" s="357"/>
      <c r="D65" s="357"/>
      <c r="E65" s="357"/>
      <c r="F65" s="357"/>
      <c r="G65" s="97"/>
      <c r="H65" s="142"/>
      <c r="I65" s="143"/>
      <c r="J65" s="143"/>
      <c r="K65" s="143"/>
      <c r="L65" s="143"/>
      <c r="M65" s="143"/>
      <c r="N65" s="143"/>
      <c r="O65" s="143"/>
      <c r="P65" s="143"/>
    </row>
    <row r="66" spans="1:16">
      <c r="A66" s="357"/>
      <c r="B66" s="357"/>
      <c r="C66" s="357"/>
      <c r="D66" s="357"/>
      <c r="E66" s="357"/>
      <c r="F66" s="357"/>
      <c r="G66" s="97"/>
      <c r="H66" s="142"/>
      <c r="I66" s="143"/>
      <c r="J66" s="143"/>
      <c r="K66" s="143"/>
      <c r="L66" s="143"/>
      <c r="M66" s="143"/>
      <c r="N66" s="143"/>
      <c r="O66" s="143"/>
      <c r="P66" s="143"/>
    </row>
    <row r="67" spans="1:16">
      <c r="A67" s="138"/>
      <c r="B67" s="138"/>
      <c r="C67" s="138"/>
      <c r="D67" s="138"/>
      <c r="E67" s="138"/>
      <c r="F67" s="138"/>
      <c r="G67" s="138"/>
    </row>
    <row r="69" spans="1:16">
      <c r="A69" s="60"/>
      <c r="B69" s="60"/>
      <c r="C69" s="60"/>
      <c r="D69" s="60"/>
      <c r="E69" s="60"/>
      <c r="F69" s="144"/>
      <c r="G69" s="144"/>
      <c r="H69" s="60"/>
      <c r="I69" s="60"/>
      <c r="J69" s="60"/>
      <c r="K69" s="60"/>
      <c r="L69" s="60"/>
      <c r="M69" s="60"/>
      <c r="N69" s="60"/>
      <c r="O69" s="60"/>
      <c r="P69" s="60"/>
    </row>
    <row r="70" spans="1:16">
      <c r="A70" s="60"/>
      <c r="B70" s="60"/>
      <c r="C70" s="60"/>
      <c r="D70" s="60"/>
      <c r="E70" s="60"/>
      <c r="F70" s="144"/>
      <c r="G70" s="144"/>
      <c r="H70" s="60"/>
      <c r="I70" s="60"/>
      <c r="J70" s="60"/>
      <c r="K70" s="60"/>
      <c r="L70" s="60"/>
      <c r="M70" s="60"/>
      <c r="N70" s="60"/>
      <c r="O70" s="60"/>
      <c r="P70" s="60"/>
    </row>
    <row r="71" spans="1:16">
      <c r="A71" s="60"/>
      <c r="B71" s="60"/>
      <c r="C71" s="60"/>
      <c r="D71" s="60"/>
      <c r="E71" s="145"/>
      <c r="F71" s="146"/>
      <c r="G71" s="144"/>
      <c r="H71" s="144"/>
      <c r="I71" s="60"/>
      <c r="J71" s="60"/>
      <c r="K71" s="60"/>
      <c r="L71" s="60"/>
      <c r="M71" s="60"/>
      <c r="N71" s="60"/>
      <c r="O71" s="60"/>
      <c r="P71" s="60"/>
    </row>
    <row r="72" spans="1:16">
      <c r="A72" s="60"/>
      <c r="B72" s="60"/>
      <c r="C72" s="60"/>
      <c r="D72" s="60"/>
      <c r="E72" s="60"/>
      <c r="F72" s="144"/>
      <c r="G72" s="144"/>
      <c r="H72" s="60"/>
      <c r="I72" s="60"/>
      <c r="J72" s="60"/>
      <c r="K72" s="60"/>
      <c r="L72" s="60"/>
      <c r="M72" s="60"/>
      <c r="N72" s="60"/>
      <c r="O72" s="60"/>
      <c r="P72" s="60"/>
    </row>
    <row r="73" spans="1:16">
      <c r="A73" s="60"/>
      <c r="B73" s="60"/>
      <c r="C73" s="60"/>
      <c r="D73" s="60"/>
      <c r="E73" s="60"/>
      <c r="F73" s="144"/>
      <c r="G73" s="144"/>
      <c r="H73" s="60"/>
      <c r="I73" s="60"/>
      <c r="J73" s="60"/>
      <c r="K73" s="60"/>
      <c r="L73" s="60"/>
      <c r="M73" s="60"/>
      <c r="N73" s="60"/>
      <c r="O73" s="60"/>
      <c r="P73" s="60"/>
    </row>
    <row r="74" spans="1:16">
      <c r="A74" s="60"/>
      <c r="B74" s="60"/>
      <c r="C74" s="60"/>
      <c r="D74" s="60"/>
      <c r="E74" s="60"/>
      <c r="F74" s="144"/>
      <c r="G74" s="144"/>
      <c r="H74" s="60"/>
      <c r="I74" s="60"/>
      <c r="J74" s="60"/>
      <c r="K74" s="60"/>
      <c r="L74" s="60"/>
      <c r="M74" s="60"/>
      <c r="N74" s="60"/>
      <c r="O74" s="60"/>
      <c r="P74" s="60"/>
    </row>
  </sheetData>
  <protectedRanges>
    <protectedRange password="C715" sqref="B43" name="Intervalo3_7_2" securityDescriptor="O:WDG:WDD:(A;;CC;;;S-1-5-21-331323738-3957049979-2397494211-500)"/>
  </protectedRanges>
  <mergeCells count="15">
    <mergeCell ref="A58:F62"/>
    <mergeCell ref="A63:F64"/>
    <mergeCell ref="A65:F66"/>
    <mergeCell ref="A39:G39"/>
    <mergeCell ref="A44:G44"/>
    <mergeCell ref="A48:G48"/>
    <mergeCell ref="A54:G54"/>
    <mergeCell ref="A55:G55"/>
    <mergeCell ref="A56:G56"/>
    <mergeCell ref="A35:G35"/>
    <mergeCell ref="A1:B5"/>
    <mergeCell ref="C1:H5"/>
    <mergeCell ref="A8:H10"/>
    <mergeCell ref="A20:G20"/>
    <mergeCell ref="A27:G27"/>
  </mergeCells>
  <pageMargins left="0.51181102362204722" right="0.51181102362204722" top="0.78740157480314965" bottom="0.78740157480314965" header="0.31496062992125984" footer="0.31496062992125984"/>
  <pageSetup paperSize="9" scale="90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5"/>
  <sheetViews>
    <sheetView tabSelected="1" workbookViewId="0">
      <selection activeCell="K21" sqref="K21"/>
    </sheetView>
  </sheetViews>
  <sheetFormatPr defaultRowHeight="15"/>
  <cols>
    <col min="1" max="1" width="11.42578125" customWidth="1"/>
    <col min="2" max="2" width="14.7109375" style="339" customWidth="1"/>
    <col min="3" max="3" width="10.140625" customWidth="1"/>
    <col min="4" max="4" width="55.28515625" customWidth="1"/>
    <col min="6" max="6" width="10.42578125" style="331" bestFit="1" customWidth="1"/>
    <col min="7" max="7" width="10.42578125" style="297" customWidth="1"/>
    <col min="8" max="8" width="20.28515625" customWidth="1"/>
    <col min="9" max="9" width="14.42578125" customWidth="1"/>
    <col min="10" max="10" width="12.7109375" customWidth="1"/>
  </cols>
  <sheetData>
    <row r="1" spans="1:11">
      <c r="A1" s="360"/>
      <c r="B1" s="360"/>
      <c r="C1" s="361"/>
      <c r="D1" s="362"/>
      <c r="E1" s="362"/>
      <c r="F1" s="362"/>
      <c r="G1" s="362"/>
      <c r="H1" s="363"/>
    </row>
    <row r="2" spans="1:11">
      <c r="A2" s="360"/>
      <c r="B2" s="360"/>
      <c r="C2" s="364"/>
      <c r="D2" s="365"/>
      <c r="E2" s="365"/>
      <c r="F2" s="365"/>
      <c r="G2" s="365"/>
      <c r="H2" s="366"/>
    </row>
    <row r="3" spans="1:11">
      <c r="A3" s="360"/>
      <c r="B3" s="360"/>
      <c r="C3" s="364"/>
      <c r="D3" s="365"/>
      <c r="E3" s="365"/>
      <c r="F3" s="365"/>
      <c r="G3" s="365"/>
      <c r="H3" s="366"/>
    </row>
    <row r="4" spans="1:11">
      <c r="A4" s="360"/>
      <c r="B4" s="360"/>
      <c r="C4" s="364"/>
      <c r="D4" s="365"/>
      <c r="E4" s="365"/>
      <c r="F4" s="365"/>
      <c r="G4" s="365"/>
      <c r="H4" s="366"/>
    </row>
    <row r="5" spans="1:11" ht="15.75" thickBot="1">
      <c r="A5" s="360"/>
      <c r="B5" s="360"/>
      <c r="C5" s="367"/>
      <c r="D5" s="368"/>
      <c r="E5" s="368"/>
      <c r="F5" s="368"/>
      <c r="G5" s="368"/>
      <c r="H5" s="369"/>
    </row>
    <row r="6" spans="1:11">
      <c r="A6" s="55" t="s">
        <v>172</v>
      </c>
      <c r="B6" s="56"/>
      <c r="C6" s="56"/>
      <c r="D6" s="56"/>
      <c r="E6" s="56"/>
      <c r="F6" s="211"/>
      <c r="G6" s="212"/>
      <c r="H6" s="213"/>
      <c r="I6" s="60"/>
      <c r="J6" s="60"/>
      <c r="K6" s="60"/>
    </row>
    <row r="7" spans="1:11" ht="26.25" thickBot="1">
      <c r="A7" s="273" t="s">
        <v>171</v>
      </c>
      <c r="B7" s="274"/>
      <c r="C7" s="274"/>
      <c r="D7" s="274"/>
      <c r="E7" s="62"/>
      <c r="F7" s="340" t="s">
        <v>34</v>
      </c>
      <c r="G7" s="64"/>
      <c r="H7" s="214"/>
      <c r="I7" s="60"/>
      <c r="J7" s="60"/>
      <c r="K7" s="60"/>
    </row>
    <row r="8" spans="1:11">
      <c r="A8" s="370"/>
      <c r="B8" s="370"/>
      <c r="C8" s="370"/>
      <c r="D8" s="370"/>
      <c r="E8" s="370"/>
      <c r="F8" s="370"/>
      <c r="G8" s="370"/>
      <c r="H8" s="371"/>
      <c r="I8" s="60"/>
      <c r="J8" s="60"/>
      <c r="K8" s="60"/>
    </row>
    <row r="9" spans="1:11">
      <c r="A9" s="372"/>
      <c r="B9" s="372"/>
      <c r="C9" s="372"/>
      <c r="D9" s="372"/>
      <c r="E9" s="372"/>
      <c r="F9" s="372"/>
      <c r="G9" s="372"/>
      <c r="H9" s="373"/>
      <c r="I9" s="60"/>
      <c r="J9" s="60"/>
      <c r="K9" s="60"/>
    </row>
    <row r="10" spans="1:11" ht="15.75" thickBot="1">
      <c r="A10" s="374"/>
      <c r="B10" s="374"/>
      <c r="C10" s="374"/>
      <c r="D10" s="374"/>
      <c r="E10" s="374"/>
      <c r="F10" s="374"/>
      <c r="G10" s="374"/>
      <c r="H10" s="375"/>
      <c r="I10" s="60"/>
      <c r="J10" s="60"/>
      <c r="K10" s="60"/>
    </row>
    <row r="11" spans="1:11" ht="15.75" thickBot="1">
      <c r="A11" s="66"/>
      <c r="B11" s="66"/>
      <c r="C11" s="66"/>
      <c r="D11" s="67"/>
      <c r="E11" s="68"/>
      <c r="F11" s="69"/>
      <c r="G11" s="70"/>
      <c r="H11" s="71"/>
      <c r="I11" s="60"/>
      <c r="J11" s="60"/>
      <c r="K11" s="60"/>
    </row>
    <row r="12" spans="1:11" ht="26.25" thickBot="1">
      <c r="A12" s="72" t="s">
        <v>35</v>
      </c>
      <c r="B12" s="72" t="s">
        <v>36</v>
      </c>
      <c r="C12" s="72" t="s">
        <v>37</v>
      </c>
      <c r="D12" s="73" t="s">
        <v>38</v>
      </c>
      <c r="E12" s="72" t="s">
        <v>39</v>
      </c>
      <c r="F12" s="74" t="s">
        <v>40</v>
      </c>
      <c r="G12" s="286" t="s">
        <v>41</v>
      </c>
      <c r="H12" s="75" t="s">
        <v>42</v>
      </c>
      <c r="I12" s="60"/>
      <c r="J12" s="60"/>
      <c r="K12" s="60"/>
    </row>
    <row r="13" spans="1:11">
      <c r="A13" s="215"/>
      <c r="B13" s="216"/>
      <c r="C13" s="216"/>
      <c r="D13" s="217"/>
      <c r="E13" s="218"/>
      <c r="F13" s="219"/>
      <c r="G13" s="220"/>
      <c r="H13" s="221"/>
      <c r="I13" s="60"/>
      <c r="J13" s="60"/>
      <c r="K13" s="60"/>
    </row>
    <row r="14" spans="1:11">
      <c r="A14" s="233"/>
      <c r="B14" s="234"/>
      <c r="C14" s="234"/>
      <c r="D14" s="234"/>
      <c r="E14" s="235"/>
      <c r="F14" s="341"/>
      <c r="G14" s="220"/>
      <c r="H14" s="238"/>
      <c r="I14" s="60"/>
      <c r="J14" s="60"/>
    </row>
    <row r="15" spans="1:11" ht="38.25">
      <c r="A15" s="267" t="s">
        <v>43</v>
      </c>
      <c r="B15" s="268"/>
      <c r="C15" s="268"/>
      <c r="D15" s="269" t="s">
        <v>174</v>
      </c>
      <c r="E15" s="270"/>
      <c r="F15" s="342"/>
      <c r="G15" s="271"/>
      <c r="H15" s="272"/>
      <c r="I15" s="225"/>
      <c r="J15" s="60"/>
    </row>
    <row r="16" spans="1:11">
      <c r="A16" s="222" t="s">
        <v>44</v>
      </c>
      <c r="B16" s="229">
        <v>95241</v>
      </c>
      <c r="C16" s="224" t="s">
        <v>10</v>
      </c>
      <c r="D16" s="225" t="s">
        <v>155</v>
      </c>
      <c r="E16" s="223" t="s">
        <v>45</v>
      </c>
      <c r="F16" s="343">
        <f>(0.5*243.41)</f>
        <v>121.705</v>
      </c>
      <c r="G16" s="259">
        <v>20.02</v>
      </c>
      <c r="H16" s="298">
        <f>G16*F16</f>
        <v>2436.5340999999999</v>
      </c>
      <c r="I16" s="60"/>
      <c r="J16" s="60"/>
    </row>
    <row r="17" spans="1:16" ht="21" customHeight="1">
      <c r="A17" s="222" t="s">
        <v>46</v>
      </c>
      <c r="B17" s="336">
        <v>93358</v>
      </c>
      <c r="C17" s="224" t="s">
        <v>10</v>
      </c>
      <c r="D17" s="225" t="s">
        <v>157</v>
      </c>
      <c r="E17" s="223" t="s">
        <v>51</v>
      </c>
      <c r="F17" s="343">
        <f>(243.71*0.5*0.2)</f>
        <v>24.371000000000002</v>
      </c>
      <c r="G17" s="259">
        <v>56.13</v>
      </c>
      <c r="H17" s="228">
        <f t="shared" ref="H17:H19" si="0">F17*G17</f>
        <v>1367.9442300000003</v>
      </c>
      <c r="I17" s="60"/>
      <c r="J17" s="60"/>
    </row>
    <row r="18" spans="1:16" ht="28.9" customHeight="1">
      <c r="A18" s="222" t="s">
        <v>83</v>
      </c>
      <c r="B18" s="336">
        <v>96533</v>
      </c>
      <c r="C18" s="224" t="s">
        <v>10</v>
      </c>
      <c r="D18" s="299" t="s">
        <v>169</v>
      </c>
      <c r="E18" s="223" t="s">
        <v>45</v>
      </c>
      <c r="F18" s="344">
        <f>(100*0.2*2)+(243.71*0.4*2)</f>
        <v>234.96800000000002</v>
      </c>
      <c r="G18" s="259">
        <v>51.4</v>
      </c>
      <c r="H18" s="228">
        <f t="shared" si="0"/>
        <v>12077.3552</v>
      </c>
    </row>
    <row r="19" spans="1:16" ht="25.5">
      <c r="A19" s="222" t="s">
        <v>117</v>
      </c>
      <c r="B19" s="223">
        <v>92919</v>
      </c>
      <c r="C19" s="224" t="s">
        <v>10</v>
      </c>
      <c r="D19" s="210" t="s">
        <v>146</v>
      </c>
      <c r="E19" s="223" t="s">
        <v>63</v>
      </c>
      <c r="F19" s="344">
        <f>(80*F21)</f>
        <v>2031.7440000000001</v>
      </c>
      <c r="G19" s="259">
        <v>7.02</v>
      </c>
      <c r="H19" s="228">
        <f t="shared" si="0"/>
        <v>14262.84288</v>
      </c>
      <c r="K19" s="107"/>
    </row>
    <row r="20" spans="1:16" ht="25.5">
      <c r="A20" s="222" t="s">
        <v>118</v>
      </c>
      <c r="B20" s="223">
        <v>92784</v>
      </c>
      <c r="C20" s="224" t="s">
        <v>10</v>
      </c>
      <c r="D20" s="210" t="s">
        <v>69</v>
      </c>
      <c r="E20" s="223" t="s">
        <v>63</v>
      </c>
      <c r="F20" s="344">
        <f>(18*F21)</f>
        <v>457.14240000000007</v>
      </c>
      <c r="G20" s="259">
        <v>9.4499999999999993</v>
      </c>
      <c r="H20" s="228">
        <f>F20*G20</f>
        <v>4319.99568</v>
      </c>
      <c r="K20" s="107"/>
    </row>
    <row r="21" spans="1:16" ht="34.5" customHeight="1">
      <c r="A21" s="222" t="s">
        <v>158</v>
      </c>
      <c r="B21" s="242" t="s">
        <v>64</v>
      </c>
      <c r="C21" s="224" t="s">
        <v>10</v>
      </c>
      <c r="D21" s="210" t="s">
        <v>65</v>
      </c>
      <c r="E21" s="223" t="s">
        <v>51</v>
      </c>
      <c r="F21" s="344">
        <f>((100*2.4*0.2*0.1)+(100*0.3*0.3*0.3)+(223.71*0.4*0.2))</f>
        <v>25.396800000000002</v>
      </c>
      <c r="G21" s="259">
        <f>323.94+144.02</f>
        <v>467.96000000000004</v>
      </c>
      <c r="H21" s="228">
        <f>F21*G21</f>
        <v>11884.686528000002</v>
      </c>
      <c r="K21" s="107"/>
    </row>
    <row r="22" spans="1:16">
      <c r="A22" s="358" t="s">
        <v>47</v>
      </c>
      <c r="B22" s="359"/>
      <c r="C22" s="359"/>
      <c r="D22" s="359"/>
      <c r="E22" s="359"/>
      <c r="F22" s="359"/>
      <c r="G22" s="359"/>
      <c r="H22" s="128">
        <f>SUM(H16:H21)</f>
        <v>46349.358617999998</v>
      </c>
      <c r="I22" s="60"/>
      <c r="J22" s="60"/>
      <c r="K22" s="109"/>
      <c r="L22" s="60"/>
      <c r="M22" s="60"/>
      <c r="N22" s="60"/>
      <c r="O22" s="60"/>
      <c r="P22" s="60"/>
    </row>
    <row r="23" spans="1:16">
      <c r="A23" s="233"/>
      <c r="B23" s="234"/>
      <c r="C23" s="234"/>
      <c r="D23" s="234"/>
      <c r="E23" s="235"/>
      <c r="F23" s="341"/>
      <c r="G23" s="220"/>
      <c r="H23" s="238"/>
      <c r="I23" s="60"/>
      <c r="J23" s="60"/>
      <c r="K23" s="79"/>
      <c r="L23" s="60"/>
      <c r="M23" s="60"/>
      <c r="N23" s="60"/>
      <c r="O23" s="60"/>
      <c r="P23" s="60"/>
    </row>
    <row r="24" spans="1:16">
      <c r="A24" s="122"/>
      <c r="B24" s="123"/>
      <c r="C24" s="123"/>
      <c r="D24" s="123"/>
      <c r="E24" s="123"/>
      <c r="F24" s="345"/>
      <c r="G24" s="287"/>
      <c r="H24" s="206"/>
      <c r="I24" s="119"/>
      <c r="J24" s="60"/>
    </row>
    <row r="25" spans="1:16" ht="51">
      <c r="A25" s="267" t="s">
        <v>48</v>
      </c>
      <c r="B25" s="268"/>
      <c r="C25" s="268"/>
      <c r="D25" s="269" t="s">
        <v>173</v>
      </c>
      <c r="E25" s="270"/>
      <c r="F25" s="342"/>
      <c r="G25" s="271"/>
      <c r="H25" s="272"/>
      <c r="I25" s="119"/>
      <c r="J25" s="60"/>
    </row>
    <row r="26" spans="1:16" ht="25.5">
      <c r="A26" s="222" t="s">
        <v>49</v>
      </c>
      <c r="B26" s="336">
        <v>96533</v>
      </c>
      <c r="C26" s="224" t="s">
        <v>10</v>
      </c>
      <c r="D26" s="210" t="s">
        <v>159</v>
      </c>
      <c r="E26" s="223" t="s">
        <v>45</v>
      </c>
      <c r="F26" s="346">
        <f>(243.71*0.2*2)</f>
        <v>97.484000000000009</v>
      </c>
      <c r="G26" s="259">
        <v>51.4</v>
      </c>
      <c r="H26" s="335">
        <f>F26*G26</f>
        <v>5010.6776</v>
      </c>
      <c r="I26" s="119"/>
      <c r="J26" s="60"/>
    </row>
    <row r="27" spans="1:16" ht="25.5">
      <c r="A27" s="222" t="s">
        <v>52</v>
      </c>
      <c r="B27" s="223">
        <v>92919</v>
      </c>
      <c r="C27" s="224" t="s">
        <v>10</v>
      </c>
      <c r="D27" s="210" t="s">
        <v>145</v>
      </c>
      <c r="E27" s="223" t="s">
        <v>63</v>
      </c>
      <c r="F27" s="347">
        <f>(80*F29)</f>
        <v>389.93600000000009</v>
      </c>
      <c r="G27" s="259">
        <v>7.02</v>
      </c>
      <c r="H27" s="228">
        <f t="shared" ref="H27:H29" si="1">F27*G27</f>
        <v>2737.3507200000004</v>
      </c>
      <c r="I27" s="119"/>
      <c r="J27" s="60"/>
    </row>
    <row r="28" spans="1:16" ht="25.5">
      <c r="A28" s="222" t="s">
        <v>54</v>
      </c>
      <c r="B28" s="223">
        <v>92784</v>
      </c>
      <c r="C28" s="224" t="s">
        <v>10</v>
      </c>
      <c r="D28" s="210" t="s">
        <v>69</v>
      </c>
      <c r="E28" s="223" t="s">
        <v>63</v>
      </c>
      <c r="F28" s="344">
        <f>(20*F29)</f>
        <v>97.484000000000023</v>
      </c>
      <c r="G28" s="259">
        <v>9.4499999999999993</v>
      </c>
      <c r="H28" s="228">
        <f t="shared" si="1"/>
        <v>921.2238000000001</v>
      </c>
      <c r="I28" s="119"/>
      <c r="J28" s="60"/>
    </row>
    <row r="29" spans="1:16" ht="38.25">
      <c r="A29" s="222" t="s">
        <v>84</v>
      </c>
      <c r="B29" s="242" t="s">
        <v>64</v>
      </c>
      <c r="C29" s="224" t="s">
        <v>10</v>
      </c>
      <c r="D29" s="210" t="s">
        <v>170</v>
      </c>
      <c r="E29" s="223" t="s">
        <v>51</v>
      </c>
      <c r="F29" s="344">
        <f>243.71*0.1*0.2</f>
        <v>4.874200000000001</v>
      </c>
      <c r="G29" s="259">
        <f>G21</f>
        <v>467.96000000000004</v>
      </c>
      <c r="H29" s="228">
        <f t="shared" si="1"/>
        <v>2280.9306320000005</v>
      </c>
      <c r="I29" s="119"/>
      <c r="J29" s="60"/>
    </row>
    <row r="30" spans="1:16">
      <c r="A30" s="358" t="s">
        <v>57</v>
      </c>
      <c r="B30" s="359"/>
      <c r="C30" s="359"/>
      <c r="D30" s="359"/>
      <c r="E30" s="359"/>
      <c r="F30" s="359"/>
      <c r="G30" s="359"/>
      <c r="H30" s="128">
        <f>SUM(H26:H29)</f>
        <v>10950.182752000001</v>
      </c>
      <c r="I30" s="119"/>
      <c r="J30" s="60"/>
    </row>
    <row r="31" spans="1:16">
      <c r="A31" s="122"/>
      <c r="B31" s="123"/>
      <c r="C31" s="123"/>
      <c r="D31" s="123"/>
      <c r="E31" s="123"/>
      <c r="F31" s="345"/>
      <c r="G31" s="287"/>
      <c r="H31" s="206"/>
      <c r="I31" s="119"/>
      <c r="J31" s="60"/>
    </row>
    <row r="32" spans="1:16">
      <c r="A32" s="275" t="s">
        <v>58</v>
      </c>
      <c r="B32" s="276"/>
      <c r="C32" s="277"/>
      <c r="D32" s="278" t="s">
        <v>152</v>
      </c>
      <c r="E32" s="279"/>
      <c r="F32" s="348"/>
      <c r="G32" s="288"/>
      <c r="H32" s="280"/>
      <c r="I32" s="60"/>
      <c r="J32" s="60"/>
    </row>
    <row r="33" spans="1:12" ht="51">
      <c r="A33" s="243" t="s">
        <v>59</v>
      </c>
      <c r="B33" s="245">
        <v>87500</v>
      </c>
      <c r="C33" s="246" t="s">
        <v>10</v>
      </c>
      <c r="D33" s="247" t="s">
        <v>148</v>
      </c>
      <c r="E33" s="223" t="s">
        <v>45</v>
      </c>
      <c r="F33" s="248">
        <f>(223.41*2)</f>
        <v>446.82</v>
      </c>
      <c r="G33" s="289">
        <v>68.16</v>
      </c>
      <c r="H33" s="228">
        <f t="shared" ref="H33" si="2">F33*G33</f>
        <v>30455.251199999999</v>
      </c>
      <c r="I33" s="60"/>
      <c r="J33" s="60"/>
    </row>
    <row r="34" spans="1:12">
      <c r="A34" s="358" t="s">
        <v>66</v>
      </c>
      <c r="B34" s="359"/>
      <c r="C34" s="359"/>
      <c r="D34" s="359"/>
      <c r="E34" s="359"/>
      <c r="F34" s="359"/>
      <c r="G34" s="359"/>
      <c r="H34" s="128">
        <f>H33</f>
        <v>30455.251199999999</v>
      </c>
      <c r="I34" s="60"/>
      <c r="J34" s="60"/>
    </row>
    <row r="35" spans="1:12">
      <c r="A35" s="250"/>
      <c r="B35" s="251"/>
      <c r="C35" s="251"/>
      <c r="D35" s="251"/>
      <c r="E35" s="252"/>
      <c r="F35" s="350"/>
      <c r="G35" s="290"/>
      <c r="H35" s="255"/>
      <c r="I35" s="60"/>
      <c r="J35" s="60"/>
    </row>
    <row r="36" spans="1:12">
      <c r="A36" s="267" t="s">
        <v>67</v>
      </c>
      <c r="B36" s="268"/>
      <c r="C36" s="268"/>
      <c r="D36" s="270" t="s">
        <v>151</v>
      </c>
      <c r="E36" s="270"/>
      <c r="F36" s="342"/>
      <c r="G36" s="271"/>
      <c r="H36" s="272"/>
      <c r="I36" s="60"/>
      <c r="J36" s="60"/>
      <c r="K36" s="60"/>
    </row>
    <row r="37" spans="1:12" ht="38.25">
      <c r="A37" s="222" t="s">
        <v>68</v>
      </c>
      <c r="B37" s="256">
        <v>87904</v>
      </c>
      <c r="C37" s="257" t="s">
        <v>10</v>
      </c>
      <c r="D37" s="258" t="s">
        <v>85</v>
      </c>
      <c r="E37" s="257" t="s">
        <v>11</v>
      </c>
      <c r="F37" s="343">
        <f>(243.41*2*2)</f>
        <v>973.64</v>
      </c>
      <c r="G37" s="260">
        <v>6.23</v>
      </c>
      <c r="H37" s="228">
        <f t="shared" ref="H37" si="3">F37*G37</f>
        <v>6065.7772000000004</v>
      </c>
      <c r="I37" s="60"/>
      <c r="J37" s="60"/>
      <c r="K37" s="60"/>
    </row>
    <row r="38" spans="1:12">
      <c r="A38" s="358" t="s">
        <v>70</v>
      </c>
      <c r="B38" s="359"/>
      <c r="C38" s="359"/>
      <c r="D38" s="359"/>
      <c r="E38" s="359"/>
      <c r="F38" s="359"/>
      <c r="G38" s="359"/>
      <c r="H38" s="128">
        <f>SUM(H37:H37)</f>
        <v>6065.7772000000004</v>
      </c>
      <c r="I38" s="60"/>
      <c r="J38" s="60"/>
      <c r="K38" s="60"/>
    </row>
    <row r="39" spans="1:12">
      <c r="A39" s="122"/>
      <c r="B39" s="123"/>
      <c r="C39" s="123"/>
      <c r="D39" s="123"/>
      <c r="E39" s="123"/>
      <c r="F39" s="345"/>
      <c r="G39" s="287"/>
      <c r="H39" s="124"/>
      <c r="I39" s="60"/>
      <c r="J39" s="60"/>
      <c r="K39" s="60"/>
    </row>
    <row r="40" spans="1:12">
      <c r="A40" s="267" t="s">
        <v>71</v>
      </c>
      <c r="B40" s="268"/>
      <c r="C40" s="268"/>
      <c r="D40" s="270" t="s">
        <v>150</v>
      </c>
      <c r="E40" s="270"/>
      <c r="F40" s="342"/>
      <c r="G40" s="271"/>
      <c r="H40" s="272"/>
      <c r="I40" s="117"/>
      <c r="J40" s="117"/>
      <c r="K40" s="117"/>
      <c r="L40" s="60"/>
    </row>
    <row r="41" spans="1:12" s="301" customFormat="1" ht="25.9" customHeight="1">
      <c r="A41" s="222" t="s">
        <v>72</v>
      </c>
      <c r="B41" s="223">
        <v>73445</v>
      </c>
      <c r="C41" s="223" t="s">
        <v>10</v>
      </c>
      <c r="D41" s="302" t="s">
        <v>160</v>
      </c>
      <c r="E41" s="263" t="s">
        <v>45</v>
      </c>
      <c r="F41" s="343">
        <f>F37</f>
        <v>973.64</v>
      </c>
      <c r="G41" s="259">
        <v>7.25</v>
      </c>
      <c r="H41" s="228">
        <f t="shared" ref="H41" si="4">F41*G41</f>
        <v>7058.89</v>
      </c>
      <c r="I41" s="117"/>
      <c r="J41" s="117"/>
      <c r="K41" s="117"/>
      <c r="L41" s="300"/>
    </row>
    <row r="42" spans="1:12">
      <c r="A42" s="358" t="s">
        <v>73</v>
      </c>
      <c r="B42" s="359"/>
      <c r="C42" s="359"/>
      <c r="D42" s="359"/>
      <c r="E42" s="359"/>
      <c r="F42" s="359"/>
      <c r="G42" s="359"/>
      <c r="H42" s="128">
        <f>H41</f>
        <v>7058.89</v>
      </c>
      <c r="I42" s="60"/>
      <c r="J42" s="60"/>
      <c r="K42" s="60"/>
      <c r="L42" s="60"/>
    </row>
    <row r="43" spans="1:12">
      <c r="A43" s="281" t="s">
        <v>74</v>
      </c>
      <c r="B43" s="282"/>
      <c r="C43" s="282"/>
      <c r="D43" s="283" t="s">
        <v>153</v>
      </c>
      <c r="E43" s="282"/>
      <c r="F43" s="351"/>
      <c r="G43" s="292"/>
      <c r="H43" s="284"/>
      <c r="I43" s="60"/>
      <c r="J43" s="60"/>
      <c r="K43" s="60"/>
      <c r="L43" s="60"/>
    </row>
    <row r="44" spans="1:12">
      <c r="A44" s="243" t="s">
        <v>75</v>
      </c>
      <c r="B44" s="242">
        <v>9537</v>
      </c>
      <c r="C44" s="257" t="s">
        <v>10</v>
      </c>
      <c r="D44" s="266" t="s">
        <v>154</v>
      </c>
      <c r="E44" s="263" t="s">
        <v>45</v>
      </c>
      <c r="F44" s="349">
        <f>F33</f>
        <v>446.82</v>
      </c>
      <c r="G44" s="289">
        <v>2.13</v>
      </c>
      <c r="H44" s="228">
        <f t="shared" ref="H44" si="5">F44*G44</f>
        <v>951.72659999999996</v>
      </c>
      <c r="I44" s="60"/>
      <c r="J44" s="60"/>
      <c r="K44" s="60"/>
      <c r="L44" s="60"/>
    </row>
    <row r="45" spans="1:12">
      <c r="A45" s="358" t="s">
        <v>76</v>
      </c>
      <c r="B45" s="359"/>
      <c r="C45" s="359"/>
      <c r="D45" s="359"/>
      <c r="E45" s="359"/>
      <c r="F45" s="359"/>
      <c r="G45" s="359"/>
      <c r="H45" s="128">
        <f>H44</f>
        <v>951.72659999999996</v>
      </c>
      <c r="I45" s="60"/>
      <c r="J45" s="60"/>
      <c r="K45" s="60"/>
      <c r="L45" s="60"/>
    </row>
    <row r="46" spans="1:12">
      <c r="A46" s="358" t="s">
        <v>81</v>
      </c>
      <c r="B46" s="359"/>
      <c r="C46" s="359"/>
      <c r="D46" s="359"/>
      <c r="E46" s="359"/>
      <c r="F46" s="359"/>
      <c r="G46" s="359"/>
      <c r="H46" s="128">
        <f>(H45+H42+H38+H34+H30+H22)</f>
        <v>101831.18637000001</v>
      </c>
      <c r="I46" s="139"/>
    </row>
    <row r="47" spans="1:12" ht="15.75" thickBot="1">
      <c r="A47" s="2" t="s">
        <v>82</v>
      </c>
      <c r="B47" s="354"/>
      <c r="C47" s="354"/>
      <c r="D47" s="354"/>
      <c r="E47" s="354"/>
      <c r="F47" s="354"/>
      <c r="G47" s="355"/>
      <c r="H47" s="285">
        <f>(H46*1.2824)</f>
        <v>130588.31340088802</v>
      </c>
    </row>
    <row r="48" spans="1:12">
      <c r="A48" s="218"/>
      <c r="B48" s="218"/>
      <c r="C48" s="218"/>
      <c r="D48" s="218"/>
      <c r="E48" s="218"/>
      <c r="F48" s="352"/>
      <c r="G48" s="293"/>
      <c r="H48" s="264"/>
    </row>
    <row r="49" spans="1:16">
      <c r="A49" s="356"/>
      <c r="B49" s="356"/>
      <c r="C49" s="356"/>
      <c r="D49" s="356"/>
      <c r="E49" s="356"/>
      <c r="F49" s="356"/>
      <c r="G49" s="294"/>
      <c r="H49" s="60"/>
    </row>
    <row r="50" spans="1:16">
      <c r="A50" s="356"/>
      <c r="B50" s="356"/>
      <c r="C50" s="356"/>
      <c r="D50" s="356"/>
      <c r="E50" s="356"/>
      <c r="F50" s="356"/>
      <c r="G50" s="294"/>
      <c r="H50" s="60"/>
      <c r="I50" s="60"/>
      <c r="J50" s="60"/>
      <c r="K50" s="60"/>
      <c r="L50" s="60"/>
      <c r="M50" s="60"/>
      <c r="N50" s="60"/>
      <c r="O50" s="60"/>
      <c r="P50" s="60"/>
    </row>
    <row r="51" spans="1:16">
      <c r="A51" s="356"/>
      <c r="B51" s="356"/>
      <c r="C51" s="356"/>
      <c r="D51" s="356"/>
      <c r="E51" s="356"/>
      <c r="F51" s="356"/>
      <c r="G51" s="294"/>
      <c r="H51" s="204"/>
      <c r="I51" s="60"/>
      <c r="J51" s="60"/>
      <c r="K51" s="60"/>
      <c r="L51" s="60"/>
      <c r="M51" s="60"/>
      <c r="N51" s="60"/>
      <c r="O51" s="60"/>
      <c r="P51" s="60"/>
    </row>
    <row r="52" spans="1:16">
      <c r="A52" s="356"/>
      <c r="B52" s="356"/>
      <c r="C52" s="356"/>
      <c r="D52" s="356"/>
      <c r="E52" s="356"/>
      <c r="F52" s="356"/>
      <c r="G52" s="294"/>
      <c r="H52" s="60"/>
      <c r="I52" s="60"/>
      <c r="J52" s="60"/>
      <c r="K52" s="60"/>
      <c r="L52" s="60"/>
      <c r="M52" s="60"/>
      <c r="N52" s="60"/>
      <c r="O52" s="60"/>
      <c r="P52" s="60"/>
    </row>
    <row r="53" spans="1:16">
      <c r="A53" s="356"/>
      <c r="B53" s="356"/>
      <c r="C53" s="356"/>
      <c r="D53" s="356"/>
      <c r="E53" s="356"/>
      <c r="F53" s="356"/>
      <c r="G53" s="294"/>
      <c r="H53" s="60"/>
      <c r="I53" s="60"/>
      <c r="J53" s="60"/>
      <c r="K53" s="60"/>
      <c r="L53" s="60"/>
      <c r="M53" s="60"/>
      <c r="N53" s="60"/>
      <c r="O53" s="60"/>
      <c r="P53" s="60"/>
    </row>
    <row r="54" spans="1:16">
      <c r="A54" s="357"/>
      <c r="B54" s="357"/>
      <c r="C54" s="357"/>
      <c r="D54" s="357"/>
      <c r="E54" s="357"/>
      <c r="F54" s="357"/>
      <c r="G54" s="81"/>
      <c r="H54" s="142"/>
      <c r="I54" s="143"/>
      <c r="J54" s="143"/>
      <c r="K54" s="143"/>
      <c r="L54" s="143"/>
      <c r="M54" s="143"/>
      <c r="N54" s="143"/>
      <c r="O54" s="143"/>
      <c r="P54" s="143"/>
    </row>
    <row r="55" spans="1:16">
      <c r="A55" s="357"/>
      <c r="B55" s="357"/>
      <c r="C55" s="357"/>
      <c r="D55" s="357"/>
      <c r="E55" s="357"/>
      <c r="F55" s="357"/>
      <c r="G55" s="81"/>
      <c r="H55" s="142"/>
      <c r="I55" s="143"/>
      <c r="J55" s="143"/>
      <c r="K55" s="143"/>
      <c r="L55" s="143"/>
      <c r="M55" s="143"/>
      <c r="N55" s="143"/>
      <c r="O55" s="143"/>
      <c r="P55" s="143"/>
    </row>
    <row r="56" spans="1:16">
      <c r="A56" s="357"/>
      <c r="B56" s="357"/>
      <c r="C56" s="357"/>
      <c r="D56" s="357"/>
      <c r="E56" s="357"/>
      <c r="F56" s="357"/>
      <c r="G56" s="81"/>
      <c r="H56" s="142"/>
      <c r="I56" s="143"/>
      <c r="J56" s="143"/>
      <c r="K56" s="143"/>
      <c r="L56" s="143"/>
      <c r="M56" s="143"/>
      <c r="N56" s="143"/>
      <c r="O56" s="143"/>
      <c r="P56" s="143"/>
    </row>
    <row r="57" spans="1:16">
      <c r="A57" s="357"/>
      <c r="B57" s="357"/>
      <c r="C57" s="357"/>
      <c r="D57" s="357"/>
      <c r="E57" s="357"/>
      <c r="F57" s="357"/>
      <c r="G57" s="81"/>
      <c r="H57" s="142"/>
      <c r="I57" s="143"/>
      <c r="J57" s="143"/>
      <c r="K57" s="143"/>
      <c r="L57" s="143"/>
      <c r="M57" s="143"/>
      <c r="N57" s="143"/>
      <c r="O57" s="143"/>
      <c r="P57" s="143"/>
    </row>
    <row r="58" spans="1:16">
      <c r="A58" s="138"/>
      <c r="B58" s="337"/>
      <c r="C58" s="138"/>
      <c r="D58" s="138"/>
      <c r="E58" s="138"/>
      <c r="F58" s="332"/>
      <c r="G58" s="295"/>
    </row>
    <row r="60" spans="1:16">
      <c r="A60" s="60"/>
      <c r="B60" s="338"/>
      <c r="C60" s="60"/>
      <c r="D60" s="60"/>
      <c r="E60" s="60"/>
      <c r="F60" s="353"/>
      <c r="G60" s="296"/>
      <c r="H60" s="60"/>
      <c r="I60" s="60"/>
      <c r="J60" s="60"/>
      <c r="K60" s="60"/>
      <c r="L60" s="60"/>
      <c r="M60" s="60"/>
      <c r="N60" s="60"/>
      <c r="O60" s="60"/>
      <c r="P60" s="60"/>
    </row>
    <row r="61" spans="1:16">
      <c r="A61" s="60"/>
      <c r="B61" s="338"/>
      <c r="C61" s="60"/>
      <c r="D61" s="60"/>
      <c r="E61" s="60"/>
      <c r="F61" s="353"/>
      <c r="G61" s="296"/>
      <c r="H61" s="60"/>
      <c r="I61" s="60"/>
      <c r="J61" s="60"/>
      <c r="K61" s="60"/>
      <c r="L61" s="60"/>
      <c r="M61" s="60"/>
      <c r="N61" s="60"/>
      <c r="O61" s="60"/>
      <c r="P61" s="60"/>
    </row>
    <row r="62" spans="1:16">
      <c r="A62" s="60"/>
      <c r="B62" s="338"/>
      <c r="C62" s="60"/>
      <c r="D62" s="60"/>
      <c r="E62" s="145"/>
      <c r="F62" s="146"/>
      <c r="G62" s="296"/>
      <c r="H62" s="144"/>
      <c r="I62" s="60"/>
      <c r="J62" s="60"/>
      <c r="K62" s="60"/>
      <c r="L62" s="60"/>
      <c r="M62" s="60"/>
      <c r="N62" s="60"/>
      <c r="O62" s="60"/>
      <c r="P62" s="60"/>
    </row>
    <row r="63" spans="1:16">
      <c r="A63" s="60"/>
      <c r="B63" s="338"/>
      <c r="C63" s="60"/>
      <c r="D63" s="60"/>
      <c r="E63" s="60"/>
      <c r="F63" s="353"/>
      <c r="G63" s="296"/>
      <c r="H63" s="60"/>
      <c r="I63" s="60"/>
      <c r="J63" s="60"/>
      <c r="K63" s="60"/>
      <c r="L63" s="60"/>
      <c r="M63" s="60"/>
      <c r="N63" s="60"/>
      <c r="O63" s="60"/>
      <c r="P63" s="60"/>
    </row>
    <row r="64" spans="1:16">
      <c r="A64" s="60"/>
      <c r="B64" s="338"/>
      <c r="C64" s="60"/>
      <c r="D64" s="60"/>
      <c r="E64" s="60"/>
      <c r="F64" s="353"/>
      <c r="G64" s="296"/>
      <c r="H64" s="60"/>
      <c r="I64" s="60"/>
      <c r="J64" s="60"/>
      <c r="K64" s="60"/>
      <c r="L64" s="60"/>
      <c r="M64" s="60"/>
      <c r="N64" s="60"/>
      <c r="O64" s="60"/>
      <c r="P64" s="60"/>
    </row>
    <row r="65" spans="1:16">
      <c r="A65" s="60"/>
      <c r="B65" s="338"/>
      <c r="C65" s="60"/>
      <c r="D65" s="60"/>
      <c r="E65" s="60"/>
      <c r="F65" s="353"/>
      <c r="G65" s="296"/>
      <c r="H65" s="60"/>
      <c r="I65" s="60"/>
      <c r="J65" s="60"/>
      <c r="K65" s="60"/>
      <c r="L65" s="60"/>
      <c r="M65" s="60"/>
      <c r="N65" s="60"/>
      <c r="O65" s="60"/>
      <c r="P65" s="60"/>
    </row>
  </sheetData>
  <protectedRanges>
    <protectedRange password="C715" sqref="B17" name="Intervalo3_1_2_1" securityDescriptor="O:WDG:WDD:(A;;CC;;;S-1-5-21-331323738-3957049979-2397494211-500)"/>
    <protectedRange password="C715" sqref="B26 B18" name="Intervalo3_1_4_1" securityDescriptor="O:WDG:WDD:(A;;CC;;;S-1-5-21-331323738-3957049979-2397494211-500)"/>
  </protectedRanges>
  <mergeCells count="14">
    <mergeCell ref="A49:F53"/>
    <mergeCell ref="A54:F55"/>
    <mergeCell ref="A56:F57"/>
    <mergeCell ref="A45:G45"/>
    <mergeCell ref="A34:G34"/>
    <mergeCell ref="A38:G38"/>
    <mergeCell ref="A42:G42"/>
    <mergeCell ref="A46:G46"/>
    <mergeCell ref="A47:G47"/>
    <mergeCell ref="A1:B5"/>
    <mergeCell ref="C1:H5"/>
    <mergeCell ref="A8:H10"/>
    <mergeCell ref="A22:G22"/>
    <mergeCell ref="A30:G30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8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3:I3"/>
  <sheetViews>
    <sheetView workbookViewId="0">
      <selection activeCell="G9" sqref="G9"/>
    </sheetView>
  </sheetViews>
  <sheetFormatPr defaultRowHeight="15"/>
  <sheetData>
    <row r="3" spans="2:9" ht="242.25">
      <c r="B3" s="222" t="s">
        <v>129</v>
      </c>
      <c r="C3" s="256">
        <v>87529</v>
      </c>
      <c r="D3" s="257" t="s">
        <v>10</v>
      </c>
      <c r="E3" s="261" t="s">
        <v>86</v>
      </c>
      <c r="F3" s="257" t="s">
        <v>11</v>
      </c>
      <c r="G3" s="265">
        <f>G2</f>
        <v>0</v>
      </c>
      <c r="H3" s="291">
        <v>23.86</v>
      </c>
      <c r="I3" s="228">
        <f t="shared" ref="I3" si="0">G3*H3</f>
        <v>0</v>
      </c>
    </row>
  </sheetData>
  <protectedRanges>
    <protectedRange password="C715" sqref="C3" name="Intervalo3_7_2" securityDescriptor="O:WDG:WDD:(A;;CC;;;S-1-5-21-331323738-3957049979-2397494211-500)"/>
  </protectedRange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31"/>
  <sheetViews>
    <sheetView workbookViewId="0">
      <selection activeCell="Z18" sqref="Z18"/>
    </sheetView>
  </sheetViews>
  <sheetFormatPr defaultRowHeight="15"/>
  <cols>
    <col min="1" max="1" width="6.140625" customWidth="1"/>
    <col min="2" max="2" width="35.85546875" customWidth="1"/>
    <col min="3" max="3" width="21.140625" customWidth="1"/>
    <col min="4" max="4" width="19.42578125" style="303" customWidth="1"/>
    <col min="5" max="5" width="7.85546875" style="303" customWidth="1"/>
    <col min="6" max="6" width="8.85546875" style="303"/>
    <col min="7" max="7" width="3.28515625" style="303" customWidth="1"/>
    <col min="9" max="9" width="3.42578125" customWidth="1"/>
    <col min="10" max="20" width="0" hidden="1" customWidth="1"/>
    <col min="21" max="21" width="33.7109375" hidden="1" customWidth="1"/>
    <col min="22" max="22" width="12.7109375" style="303" customWidth="1"/>
  </cols>
  <sheetData>
    <row r="1" spans="1:22" ht="15" customHeight="1">
      <c r="A1" s="376" t="s">
        <v>104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/>
    </row>
    <row r="2" spans="1:22" ht="15.75">
      <c r="A2" s="379" t="s">
        <v>103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  <c r="T2" s="380"/>
      <c r="U2" s="380"/>
      <c r="V2" s="381"/>
    </row>
    <row r="3" spans="1:22" ht="15.75" customHeight="1">
      <c r="A3" s="382" t="s">
        <v>161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4"/>
    </row>
    <row r="4" spans="1:22" ht="15.75" thickBot="1">
      <c r="A4" s="333"/>
      <c r="B4" s="334"/>
      <c r="C4" s="334"/>
      <c r="D4" s="310"/>
      <c r="E4" s="310"/>
      <c r="F4" s="310"/>
      <c r="G4" s="310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11"/>
    </row>
    <row r="5" spans="1:22" ht="15" customHeight="1">
      <c r="A5" s="407" t="s">
        <v>91</v>
      </c>
      <c r="B5" s="436" t="s">
        <v>92</v>
      </c>
      <c r="C5" s="437"/>
      <c r="D5" s="409" t="s">
        <v>101</v>
      </c>
      <c r="E5" s="417" t="s">
        <v>93</v>
      </c>
      <c r="F5" s="417"/>
      <c r="G5" s="418"/>
      <c r="H5" s="399" t="s">
        <v>94</v>
      </c>
      <c r="I5" s="399"/>
      <c r="J5" s="399" t="s">
        <v>95</v>
      </c>
      <c r="K5" s="399"/>
      <c r="L5" s="399" t="s">
        <v>96</v>
      </c>
      <c r="M5" s="399"/>
      <c r="N5" s="399" t="s">
        <v>97</v>
      </c>
      <c r="O5" s="399"/>
      <c r="P5" s="399" t="s">
        <v>98</v>
      </c>
      <c r="Q5" s="399"/>
      <c r="R5" s="399" t="s">
        <v>99</v>
      </c>
      <c r="S5" s="399"/>
      <c r="T5" s="399" t="s">
        <v>100</v>
      </c>
      <c r="U5" s="399"/>
      <c r="V5" s="312" t="s">
        <v>156</v>
      </c>
    </row>
    <row r="6" spans="1:22" ht="27" customHeight="1" thickBot="1">
      <c r="A6" s="408"/>
      <c r="B6" s="438"/>
      <c r="C6" s="439"/>
      <c r="D6" s="410"/>
      <c r="E6" s="320"/>
      <c r="F6" s="413">
        <v>30</v>
      </c>
      <c r="G6" s="414"/>
      <c r="H6" s="415">
        <v>60</v>
      </c>
      <c r="I6" s="390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313">
        <v>90</v>
      </c>
    </row>
    <row r="7" spans="1:22" ht="22.9" customHeight="1">
      <c r="A7" s="424">
        <v>1</v>
      </c>
      <c r="B7" s="440" t="s">
        <v>175</v>
      </c>
      <c r="C7" s="441"/>
      <c r="D7" s="450">
        <f>'ORÇAMENTO DO MURO'!H22</f>
        <v>46349.358617999998</v>
      </c>
      <c r="E7" s="321" t="s">
        <v>8</v>
      </c>
      <c r="F7" s="387">
        <v>0.4</v>
      </c>
      <c r="G7" s="387"/>
      <c r="H7" s="387">
        <v>0.6</v>
      </c>
      <c r="I7" s="387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314"/>
    </row>
    <row r="8" spans="1:22" ht="20.45" customHeight="1" thickBot="1">
      <c r="A8" s="425"/>
      <c r="B8" s="442"/>
      <c r="C8" s="443"/>
      <c r="D8" s="451"/>
      <c r="E8" s="321" t="s">
        <v>165</v>
      </c>
      <c r="F8" s="419">
        <f>0.4*D7</f>
        <v>18539.743447199999</v>
      </c>
      <c r="G8" s="420"/>
      <c r="H8" s="448">
        <f>D7*0.6</f>
        <v>27809.6151708</v>
      </c>
      <c r="I8" s="449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314"/>
    </row>
    <row r="9" spans="1:22" ht="37.15" customHeight="1">
      <c r="A9" s="426">
        <v>2</v>
      </c>
      <c r="B9" s="440" t="s">
        <v>162</v>
      </c>
      <c r="C9" s="441"/>
      <c r="D9" s="427">
        <f>'ORÇAMENTO DO MURO'!H30</f>
        <v>10950.182752000001</v>
      </c>
      <c r="E9" s="322" t="s">
        <v>8</v>
      </c>
      <c r="F9" s="387"/>
      <c r="G9" s="387"/>
      <c r="H9" s="387">
        <v>0.5</v>
      </c>
      <c r="I9" s="387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315">
        <v>0.5</v>
      </c>
    </row>
    <row r="10" spans="1:22" ht="15.75" thickBot="1">
      <c r="A10" s="425"/>
      <c r="B10" s="442"/>
      <c r="C10" s="443"/>
      <c r="D10" s="427"/>
      <c r="E10" s="322" t="s">
        <v>165</v>
      </c>
      <c r="F10" s="422"/>
      <c r="G10" s="423"/>
      <c r="H10" s="419">
        <f>D9*0.5</f>
        <v>5475.0913760000003</v>
      </c>
      <c r="I10" s="420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316">
        <f>0.5*D9</f>
        <v>5475.0913760000003</v>
      </c>
    </row>
    <row r="11" spans="1:22">
      <c r="A11" s="426">
        <v>3</v>
      </c>
      <c r="B11" s="444" t="s">
        <v>152</v>
      </c>
      <c r="C11" s="445"/>
      <c r="D11" s="428">
        <f>'ORÇAMENTO DO MURO'!H34</f>
        <v>30455.251199999999</v>
      </c>
      <c r="E11" s="322" t="s">
        <v>8</v>
      </c>
      <c r="F11" s="387"/>
      <c r="G11" s="387"/>
      <c r="H11" s="416">
        <v>0.4</v>
      </c>
      <c r="I11" s="412"/>
      <c r="J11" s="177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317">
        <v>0.6</v>
      </c>
    </row>
    <row r="12" spans="1:22" ht="15.75" thickBot="1">
      <c r="A12" s="425"/>
      <c r="B12" s="446"/>
      <c r="C12" s="447"/>
      <c r="D12" s="429"/>
      <c r="E12" s="322" t="s">
        <v>165</v>
      </c>
      <c r="F12" s="308"/>
      <c r="G12" s="309"/>
      <c r="H12" s="434">
        <f>D11*0.4</f>
        <v>12182.100480000001</v>
      </c>
      <c r="I12" s="435"/>
      <c r="J12" s="177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318">
        <f>D11*0.6</f>
        <v>18273.150719999998</v>
      </c>
    </row>
    <row r="13" spans="1:22">
      <c r="A13" s="426">
        <v>4</v>
      </c>
      <c r="B13" s="430" t="s">
        <v>151</v>
      </c>
      <c r="C13" s="431"/>
      <c r="D13" s="428">
        <f>'ORÇAMENTO DO MURO'!H38</f>
        <v>6065.7772000000004</v>
      </c>
      <c r="E13" s="322" t="s">
        <v>8</v>
      </c>
      <c r="F13" s="411"/>
      <c r="G13" s="412"/>
      <c r="H13" s="387">
        <v>0.3</v>
      </c>
      <c r="I13" s="387"/>
      <c r="J13" s="400">
        <v>0.6</v>
      </c>
      <c r="K13" s="400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317">
        <v>0.7</v>
      </c>
    </row>
    <row r="14" spans="1:22" ht="15.75" thickBot="1">
      <c r="A14" s="425"/>
      <c r="B14" s="432"/>
      <c r="C14" s="433"/>
      <c r="D14" s="429"/>
      <c r="E14" s="322" t="s">
        <v>165</v>
      </c>
      <c r="F14" s="306"/>
      <c r="G14" s="307"/>
      <c r="H14" s="419">
        <f>0.3*D13</f>
        <v>1819.73316</v>
      </c>
      <c r="I14" s="420"/>
      <c r="J14" s="304"/>
      <c r="K14" s="30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318">
        <f>0.7*D13</f>
        <v>4246.0440399999998</v>
      </c>
    </row>
    <row r="15" spans="1:22">
      <c r="A15" s="426">
        <v>5</v>
      </c>
      <c r="B15" s="430" t="s">
        <v>150</v>
      </c>
      <c r="C15" s="431"/>
      <c r="D15" s="428">
        <f>'ORÇAMENTO DO MURO'!H42</f>
        <v>7058.89</v>
      </c>
      <c r="E15" s="322" t="s">
        <v>8</v>
      </c>
      <c r="F15" s="411"/>
      <c r="G15" s="412"/>
      <c r="H15" s="387"/>
      <c r="I15" s="387"/>
      <c r="J15" s="400">
        <v>0.5</v>
      </c>
      <c r="K15" s="400"/>
      <c r="L15" s="400">
        <v>0.5</v>
      </c>
      <c r="M15" s="400"/>
      <c r="N15" s="174"/>
      <c r="O15" s="174"/>
      <c r="P15" s="174"/>
      <c r="Q15" s="174"/>
      <c r="R15" s="174"/>
      <c r="S15" s="174"/>
      <c r="T15" s="174"/>
      <c r="U15" s="174"/>
      <c r="V15" s="317">
        <v>1</v>
      </c>
    </row>
    <row r="16" spans="1:22" ht="15.75" thickBot="1">
      <c r="A16" s="425"/>
      <c r="B16" s="432"/>
      <c r="C16" s="433"/>
      <c r="D16" s="429"/>
      <c r="E16" s="322" t="s">
        <v>165</v>
      </c>
      <c r="F16" s="306"/>
      <c r="G16" s="307"/>
      <c r="H16" s="422"/>
      <c r="I16" s="423"/>
      <c r="J16" s="304"/>
      <c r="K16" s="304"/>
      <c r="L16" s="304"/>
      <c r="M16" s="304"/>
      <c r="N16" s="174"/>
      <c r="O16" s="174"/>
      <c r="P16" s="174"/>
      <c r="Q16" s="174"/>
      <c r="R16" s="174"/>
      <c r="S16" s="174"/>
      <c r="T16" s="174"/>
      <c r="U16" s="174"/>
      <c r="V16" s="318">
        <f>D15</f>
        <v>7058.89</v>
      </c>
    </row>
    <row r="17" spans="1:31">
      <c r="A17" s="426">
        <v>6</v>
      </c>
      <c r="B17" s="461" t="s">
        <v>153</v>
      </c>
      <c r="C17" s="462"/>
      <c r="D17" s="428">
        <f>'ORÇAMENTO DO MURO'!H44</f>
        <v>951.72659999999996</v>
      </c>
      <c r="E17" s="322" t="s">
        <v>8</v>
      </c>
      <c r="F17" s="411"/>
      <c r="G17" s="412"/>
      <c r="H17" s="387"/>
      <c r="I17" s="387"/>
      <c r="J17" s="304"/>
      <c r="K17" s="304"/>
      <c r="L17" s="304"/>
      <c r="M17" s="304"/>
      <c r="N17" s="174"/>
      <c r="O17" s="174"/>
      <c r="P17" s="174"/>
      <c r="Q17" s="174"/>
      <c r="R17" s="174"/>
      <c r="S17" s="174"/>
      <c r="T17" s="174"/>
      <c r="U17" s="174"/>
      <c r="V17" s="317">
        <v>1</v>
      </c>
    </row>
    <row r="18" spans="1:31" ht="15.75" thickBot="1">
      <c r="A18" s="460"/>
      <c r="B18" s="463"/>
      <c r="C18" s="464"/>
      <c r="D18" s="429"/>
      <c r="E18" s="322" t="s">
        <v>165</v>
      </c>
      <c r="F18" s="306"/>
      <c r="G18" s="307"/>
      <c r="H18" s="308"/>
      <c r="I18" s="309"/>
      <c r="J18" s="304"/>
      <c r="K18" s="304"/>
      <c r="L18" s="304"/>
      <c r="M18" s="304"/>
      <c r="N18" s="174"/>
      <c r="O18" s="174"/>
      <c r="P18" s="174"/>
      <c r="Q18" s="174"/>
      <c r="R18" s="174"/>
      <c r="S18" s="174"/>
      <c r="T18" s="174"/>
      <c r="U18" s="174"/>
      <c r="V18" s="318">
        <f>D17</f>
        <v>951.72659999999996</v>
      </c>
    </row>
    <row r="19" spans="1:31" ht="14.45" customHeight="1" thickBot="1">
      <c r="A19" s="455" t="s">
        <v>164</v>
      </c>
      <c r="B19" s="456"/>
      <c r="C19" s="457"/>
      <c r="D19" s="325">
        <f>SUM(D7:D17)</f>
        <v>101831.18636999998</v>
      </c>
      <c r="E19" s="323"/>
      <c r="F19" s="306"/>
      <c r="G19" s="307"/>
      <c r="H19" s="422"/>
      <c r="I19" s="423"/>
      <c r="J19" s="304"/>
      <c r="K19" s="304"/>
      <c r="L19" s="304"/>
      <c r="M19" s="304"/>
      <c r="N19" s="174"/>
      <c r="O19" s="174"/>
      <c r="P19" s="174"/>
      <c r="Q19" s="174"/>
      <c r="R19" s="174"/>
      <c r="S19" s="174"/>
      <c r="T19" s="174"/>
      <c r="U19" s="174"/>
      <c r="V19" s="317"/>
    </row>
    <row r="20" spans="1:31" ht="14.45" customHeight="1" thickBot="1">
      <c r="A20" s="452" t="s">
        <v>163</v>
      </c>
      <c r="B20" s="453"/>
      <c r="C20" s="454"/>
      <c r="D20" s="325">
        <f>'ORÇAMENTO DO MURO'!H47</f>
        <v>130588.31340088802</v>
      </c>
      <c r="E20" s="323"/>
      <c r="F20" s="306"/>
      <c r="G20" s="307"/>
      <c r="H20" s="308"/>
      <c r="I20" s="309"/>
      <c r="J20" s="304"/>
      <c r="K20" s="304"/>
      <c r="L20" s="304"/>
      <c r="M20" s="304"/>
      <c r="N20" s="174"/>
      <c r="O20" s="174"/>
      <c r="P20" s="174"/>
      <c r="Q20" s="174"/>
      <c r="R20" s="174"/>
      <c r="S20" s="174"/>
      <c r="T20" s="174"/>
      <c r="U20" s="174"/>
      <c r="V20" s="317"/>
    </row>
    <row r="21" spans="1:31" ht="15.75" thickBot="1">
      <c r="A21" s="436" t="s">
        <v>166</v>
      </c>
      <c r="B21" s="458"/>
      <c r="C21" s="329" t="s">
        <v>167</v>
      </c>
      <c r="D21" s="326"/>
      <c r="E21" s="327" t="s">
        <v>165</v>
      </c>
      <c r="F21" s="394">
        <f>F8</f>
        <v>18539.743447199999</v>
      </c>
      <c r="G21" s="394"/>
      <c r="H21" s="394">
        <f>H8+H10+H12+H14</f>
        <v>47286.540186800004</v>
      </c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28">
        <f>V10+V12+V14+V16+V18</f>
        <v>36004.902736000004</v>
      </c>
      <c r="AE21" s="178"/>
    </row>
    <row r="22" spans="1:31" ht="15.75" thickBot="1">
      <c r="A22" s="438"/>
      <c r="B22" s="459"/>
      <c r="C22" s="330" t="s">
        <v>168</v>
      </c>
      <c r="D22" s="324"/>
      <c r="E22" s="305" t="s">
        <v>165</v>
      </c>
      <c r="F22" s="421">
        <f>F21*1.2824</f>
        <v>23775.366996689278</v>
      </c>
      <c r="G22" s="421"/>
      <c r="H22" s="421">
        <f>H21*1.2824+F22</f>
        <v>84415.626132241596</v>
      </c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319">
        <f>V21*1.2824+H22</f>
        <v>130588.313400888</v>
      </c>
      <c r="AE22" s="178"/>
    </row>
    <row r="23" spans="1:31">
      <c r="AE23" s="178"/>
    </row>
    <row r="24" spans="1:31">
      <c r="AE24" s="178"/>
    </row>
    <row r="25" spans="1:31">
      <c r="AE25" s="178"/>
    </row>
    <row r="26" spans="1:31">
      <c r="AE26" s="178"/>
    </row>
    <row r="27" spans="1:31">
      <c r="AE27" s="178"/>
    </row>
    <row r="28" spans="1:31">
      <c r="AE28" s="178"/>
    </row>
    <row r="29" spans="1:31">
      <c r="AE29" s="178"/>
    </row>
    <row r="30" spans="1:31">
      <c r="AE30" s="178"/>
    </row>
    <row r="31" spans="1:31">
      <c r="AE31" s="183"/>
    </row>
  </sheetData>
  <mergeCells count="76">
    <mergeCell ref="A20:C20"/>
    <mergeCell ref="A19:C19"/>
    <mergeCell ref="A21:B22"/>
    <mergeCell ref="D17:D18"/>
    <mergeCell ref="A17:A18"/>
    <mergeCell ref="B17:C18"/>
    <mergeCell ref="H12:I12"/>
    <mergeCell ref="H14:I14"/>
    <mergeCell ref="H16:I16"/>
    <mergeCell ref="B5:C6"/>
    <mergeCell ref="B7:C8"/>
    <mergeCell ref="B9:C10"/>
    <mergeCell ref="B11:C12"/>
    <mergeCell ref="B13:C14"/>
    <mergeCell ref="H8:I8"/>
    <mergeCell ref="D7:D8"/>
    <mergeCell ref="A15:A16"/>
    <mergeCell ref="A13:A14"/>
    <mergeCell ref="A11:A12"/>
    <mergeCell ref="D11:D12"/>
    <mergeCell ref="D13:D14"/>
    <mergeCell ref="D15:D16"/>
    <mergeCell ref="B15:C16"/>
    <mergeCell ref="A7:A8"/>
    <mergeCell ref="F10:G10"/>
    <mergeCell ref="A9:A10"/>
    <mergeCell ref="D9:D10"/>
    <mergeCell ref="H10:I10"/>
    <mergeCell ref="N22:O22"/>
    <mergeCell ref="R22:S22"/>
    <mergeCell ref="T22:U22"/>
    <mergeCell ref="N21:O21"/>
    <mergeCell ref="P21:Q21"/>
    <mergeCell ref="R21:S21"/>
    <mergeCell ref="T21:U21"/>
    <mergeCell ref="P22:Q22"/>
    <mergeCell ref="J15:K15"/>
    <mergeCell ref="L15:M15"/>
    <mergeCell ref="H17:I17"/>
    <mergeCell ref="F21:G21"/>
    <mergeCell ref="H21:I21"/>
    <mergeCell ref="J21:K21"/>
    <mergeCell ref="L21:M21"/>
    <mergeCell ref="F15:G15"/>
    <mergeCell ref="H15:I15"/>
    <mergeCell ref="F22:G22"/>
    <mergeCell ref="H22:I22"/>
    <mergeCell ref="J22:K22"/>
    <mergeCell ref="L22:M22"/>
    <mergeCell ref="F17:G17"/>
    <mergeCell ref="H19:I19"/>
    <mergeCell ref="J13:K13"/>
    <mergeCell ref="F13:G13"/>
    <mergeCell ref="P5:Q5"/>
    <mergeCell ref="R5:S5"/>
    <mergeCell ref="T5:U5"/>
    <mergeCell ref="F6:G6"/>
    <mergeCell ref="H6:I6"/>
    <mergeCell ref="H7:I7"/>
    <mergeCell ref="H9:I9"/>
    <mergeCell ref="H11:I11"/>
    <mergeCell ref="F7:G7"/>
    <mergeCell ref="F9:G9"/>
    <mergeCell ref="F11:G11"/>
    <mergeCell ref="H13:I13"/>
    <mergeCell ref="E5:G5"/>
    <mergeCell ref="F8:G8"/>
    <mergeCell ref="A1:V1"/>
    <mergeCell ref="A2:V2"/>
    <mergeCell ref="A3:V3"/>
    <mergeCell ref="A5:A6"/>
    <mergeCell ref="H5:I5"/>
    <mergeCell ref="J5:K5"/>
    <mergeCell ref="L5:M5"/>
    <mergeCell ref="N5:O5"/>
    <mergeCell ref="D5:D6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Composição vão muro prefeitura</vt:lpstr>
      <vt:lpstr>Orçamento do muro PMVG</vt:lpstr>
      <vt:lpstr>Cronograma muro</vt:lpstr>
      <vt:lpstr>Plan4</vt:lpstr>
      <vt:lpstr>ORÇAMENTO DO MURO</vt:lpstr>
      <vt:lpstr>Planilha1</vt:lpstr>
      <vt:lpstr>CRONOGRAMA</vt:lpstr>
      <vt:lpstr>CRONOGRAMA!Area_de_impressao</vt:lpstr>
      <vt:lpstr>'ORÇAMENTO DO MURO'!Area_de_impressao</vt:lpstr>
      <vt:lpstr>'Orçamento do muro PMVG'!Area_de_impressao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ENGENHARIA;Edna M.Pinto</dc:creator>
  <cp:lastModifiedBy>ENGENHARIA</cp:lastModifiedBy>
  <cp:lastPrinted>2018-10-04T19:16:00Z</cp:lastPrinted>
  <dcterms:created xsi:type="dcterms:W3CDTF">2017-02-08T13:44:04Z</dcterms:created>
  <dcterms:modified xsi:type="dcterms:W3CDTF">2018-10-31T18:33:27Z</dcterms:modified>
</cp:coreProperties>
</file>